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Формирование бюджета на 2025год\Проект бюджета для Собрания депутатов на замену\"/>
    </mc:Choice>
  </mc:AlternateContent>
  <bookViews>
    <workbookView xWindow="-12" yWindow="-12" windowWidth="19236" windowHeight="11400" activeTab="1"/>
  </bookViews>
  <sheets>
    <sheet name="прил3 " sheetId="2" r:id="rId1"/>
    <sheet name="прил4." sheetId="1" r:id="rId2"/>
    <sheet name="прил 5" sheetId="3" r:id="rId3"/>
  </sheets>
  <externalReferences>
    <externalReference r:id="rId4"/>
  </externalReferences>
  <definedNames>
    <definedName name="_xlnm.Print_Titles" localSheetId="2">'прил 5'!$5:$8</definedName>
    <definedName name="_xlnm.Print_Titles" localSheetId="1">прил4.!$4:$7</definedName>
    <definedName name="_xlnm.Print_Area" localSheetId="2">'прил 5'!$A$2:$I$559</definedName>
    <definedName name="_xlnm.Print_Area" localSheetId="0">'прил3 '!$A$1:$J$53</definedName>
    <definedName name="_xlnm.Print_Area" localSheetId="1">прил4.!$A$1:$I$735</definedName>
  </definedNames>
  <calcPr calcId="152511"/>
</workbook>
</file>

<file path=xl/calcChain.xml><?xml version="1.0" encoding="utf-8"?>
<calcChain xmlns="http://schemas.openxmlformats.org/spreadsheetml/2006/main">
  <c r="I734" i="1" l="1"/>
  <c r="H52" i="2" s="1"/>
  <c r="H734" i="1"/>
  <c r="G52" i="2" s="1"/>
  <c r="I365" i="1" l="1"/>
  <c r="H365" i="1"/>
  <c r="I716" i="1"/>
  <c r="H716" i="1"/>
  <c r="I706" i="1"/>
  <c r="H706" i="1"/>
  <c r="I399" i="1" l="1"/>
  <c r="I387" i="1"/>
  <c r="H399" i="1"/>
  <c r="H387" i="1"/>
  <c r="G387" i="1" l="1"/>
  <c r="G730" i="1"/>
  <c r="G706" i="1"/>
  <c r="G365" i="1"/>
  <c r="I697" i="1" l="1"/>
  <c r="I378" i="1"/>
  <c r="H378" i="1"/>
  <c r="H697" i="1"/>
  <c r="H72" i="3" l="1"/>
  <c r="H71" i="3" s="1"/>
  <c r="H70" i="3" s="1"/>
  <c r="I72" i="3"/>
  <c r="I71" i="3" s="1"/>
  <c r="I70" i="3" s="1"/>
  <c r="G72" i="3"/>
  <c r="G71" i="3" s="1"/>
  <c r="G70" i="3" s="1"/>
  <c r="H69" i="3"/>
  <c r="H68" i="3" s="1"/>
  <c r="H67" i="3" s="1"/>
  <c r="I69" i="3"/>
  <c r="I68" i="3" s="1"/>
  <c r="I67" i="3" s="1"/>
  <c r="G69" i="3"/>
  <c r="G68" i="3" s="1"/>
  <c r="G67" i="3" s="1"/>
  <c r="I653" i="1"/>
  <c r="I652" i="1" s="1"/>
  <c r="H653" i="1"/>
  <c r="H652" i="1" s="1"/>
  <c r="G653" i="1"/>
  <c r="G652" i="1" s="1"/>
  <c r="I650" i="1"/>
  <c r="I649" i="1" s="1"/>
  <c r="H650" i="1"/>
  <c r="G650" i="1"/>
  <c r="G649" i="1" s="1"/>
  <c r="H649" i="1"/>
  <c r="G286" i="3" l="1"/>
  <c r="I102" i="1"/>
  <c r="I286" i="3" s="1"/>
  <c r="H102" i="1"/>
  <c r="H286" i="3" s="1"/>
  <c r="G102" i="1"/>
  <c r="I37" i="1"/>
  <c r="I36" i="1" s="1"/>
  <c r="H37" i="1"/>
  <c r="H36" i="1" s="1"/>
  <c r="G37" i="1"/>
  <c r="G36" i="1" s="1"/>
  <c r="G642" i="1" l="1"/>
  <c r="I272" i="1" l="1"/>
  <c r="I217" i="1"/>
  <c r="H217" i="1"/>
  <c r="I183" i="1"/>
  <c r="H183" i="1"/>
  <c r="I591" i="1"/>
  <c r="H591" i="1"/>
  <c r="I67" i="1"/>
  <c r="I64" i="1"/>
  <c r="H64" i="1"/>
  <c r="I61" i="1"/>
  <c r="I60" i="1"/>
  <c r="H67" i="1"/>
  <c r="H60" i="1"/>
  <c r="H61" i="1"/>
  <c r="H272" i="1" l="1"/>
  <c r="I257" i="1"/>
  <c r="H257" i="1"/>
  <c r="I519" i="1"/>
  <c r="H519" i="1"/>
  <c r="H432" i="3" l="1"/>
  <c r="I432" i="3"/>
  <c r="G432" i="3"/>
  <c r="I668" i="1"/>
  <c r="I667" i="1" s="1"/>
  <c r="H668" i="1"/>
  <c r="H667" i="1" s="1"/>
  <c r="G668" i="1"/>
  <c r="G667" i="1" s="1"/>
  <c r="H479" i="3"/>
  <c r="I479" i="3"/>
  <c r="G479" i="3"/>
  <c r="H481" i="3"/>
  <c r="I481" i="3"/>
  <c r="G481" i="3"/>
  <c r="H484" i="3"/>
  <c r="I484" i="3"/>
  <c r="G484" i="3"/>
  <c r="H486" i="3"/>
  <c r="I486" i="3"/>
  <c r="G486" i="3"/>
  <c r="H578" i="1"/>
  <c r="H577" i="1" s="1"/>
  <c r="I578" i="1"/>
  <c r="I577" i="1" s="1"/>
  <c r="O125" i="1"/>
  <c r="G547" i="1"/>
  <c r="G546" i="1" s="1"/>
  <c r="G545" i="1" s="1"/>
  <c r="T331" i="3" s="1"/>
  <c r="H547" i="1"/>
  <c r="H546" i="1" s="1"/>
  <c r="H545" i="1" s="1"/>
  <c r="I547" i="1"/>
  <c r="I546" i="1" s="1"/>
  <c r="I545" i="1" s="1"/>
  <c r="G334" i="3"/>
  <c r="G333" i="3" s="1"/>
  <c r="G332" i="3" s="1"/>
  <c r="G331" i="3" s="1"/>
  <c r="H334" i="3"/>
  <c r="H333" i="3" s="1"/>
  <c r="H332" i="3" s="1"/>
  <c r="H331" i="3" s="1"/>
  <c r="I334" i="3"/>
  <c r="I333" i="3" s="1"/>
  <c r="I332" i="3" s="1"/>
  <c r="I331" i="3" s="1"/>
  <c r="I85" i="1" l="1"/>
  <c r="H85" i="1"/>
  <c r="G85" i="1"/>
  <c r="I89" i="1"/>
  <c r="H89" i="1"/>
  <c r="G89" i="1"/>
  <c r="G57" i="1" l="1"/>
  <c r="G229" i="1" l="1"/>
  <c r="G358" i="1"/>
  <c r="H190" i="3" l="1"/>
  <c r="I190" i="3"/>
  <c r="G190" i="3"/>
  <c r="H266" i="3"/>
  <c r="H265" i="3" s="1"/>
  <c r="H264" i="3" s="1"/>
  <c r="I266" i="3"/>
  <c r="I265" i="3" s="1"/>
  <c r="I264" i="3" s="1"/>
  <c r="G266" i="3"/>
  <c r="G265" i="3" s="1"/>
  <c r="G264" i="3" s="1"/>
  <c r="H263" i="3"/>
  <c r="I263" i="3"/>
  <c r="G263" i="3"/>
  <c r="I92" i="1"/>
  <c r="I91" i="1" s="1"/>
  <c r="H92" i="1"/>
  <c r="H91" i="1" s="1"/>
  <c r="G92" i="1"/>
  <c r="G91" i="1" s="1"/>
  <c r="H257" i="3"/>
  <c r="H256" i="3" s="1"/>
  <c r="H255" i="3" s="1"/>
  <c r="I257" i="3"/>
  <c r="I256" i="3" s="1"/>
  <c r="I255" i="3" s="1"/>
  <c r="G257" i="3"/>
  <c r="G256" i="3" s="1"/>
  <c r="G255" i="3" s="1"/>
  <c r="H254" i="3"/>
  <c r="H253" i="3" s="1"/>
  <c r="H252" i="3" s="1"/>
  <c r="I254" i="3"/>
  <c r="I253" i="3" s="1"/>
  <c r="I252" i="3" s="1"/>
  <c r="G254" i="3"/>
  <c r="G253" i="3" s="1"/>
  <c r="G252" i="3" s="1"/>
  <c r="I78" i="1"/>
  <c r="I77" i="1" s="1"/>
  <c r="H78" i="1"/>
  <c r="H77" i="1" s="1"/>
  <c r="G78" i="1"/>
  <c r="G77" i="1" s="1"/>
  <c r="I75" i="1"/>
  <c r="I74" i="1" s="1"/>
  <c r="H75" i="1"/>
  <c r="H74" i="1" s="1"/>
  <c r="G75" i="1"/>
  <c r="G74" i="1" s="1"/>
  <c r="H251" i="3"/>
  <c r="H250" i="3" s="1"/>
  <c r="H249" i="3" s="1"/>
  <c r="I251" i="3"/>
  <c r="I250" i="3" s="1"/>
  <c r="I249" i="3" s="1"/>
  <c r="G251" i="3"/>
  <c r="G250" i="3" s="1"/>
  <c r="G249" i="3" s="1"/>
  <c r="I72" i="1"/>
  <c r="I71" i="1" s="1"/>
  <c r="H72" i="1"/>
  <c r="H71" i="1" s="1"/>
  <c r="G72" i="1"/>
  <c r="G71" i="1" s="1"/>
  <c r="H148" i="3" l="1"/>
  <c r="I148" i="3"/>
  <c r="G148" i="3"/>
  <c r="H145" i="3"/>
  <c r="I145" i="3"/>
  <c r="G145" i="3"/>
  <c r="I337" i="1"/>
  <c r="I336" i="1" s="1"/>
  <c r="H337" i="1"/>
  <c r="H336" i="1" s="1"/>
  <c r="G337" i="1"/>
  <c r="G336" i="1" s="1"/>
  <c r="I334" i="1"/>
  <c r="I333" i="1" s="1"/>
  <c r="H334" i="1"/>
  <c r="H333" i="1" s="1"/>
  <c r="G334" i="1"/>
  <c r="G333" i="1" s="1"/>
  <c r="I347" i="1"/>
  <c r="O348" i="1" s="1"/>
  <c r="H347" i="1"/>
  <c r="G347" i="1"/>
  <c r="G341" i="1"/>
  <c r="I285" i="1"/>
  <c r="I284" i="1" s="1"/>
  <c r="G285" i="1"/>
  <c r="G284" i="1" s="1"/>
  <c r="H285" i="1"/>
  <c r="H284" i="1" s="1"/>
  <c r="I293" i="1"/>
  <c r="H293" i="1"/>
  <c r="G293" i="1"/>
  <c r="I278" i="1"/>
  <c r="H278" i="1"/>
  <c r="G278" i="1"/>
  <c r="H193" i="3"/>
  <c r="H192" i="3" s="1"/>
  <c r="H191" i="3" s="1"/>
  <c r="I193" i="3"/>
  <c r="I192" i="3" s="1"/>
  <c r="I191" i="3" s="1"/>
  <c r="G193" i="3"/>
  <c r="G192" i="3" s="1"/>
  <c r="G191" i="3" s="1"/>
  <c r="G249" i="1"/>
  <c r="G248" i="1" s="1"/>
  <c r="I249" i="1"/>
  <c r="I248" i="1" s="1"/>
  <c r="H249" i="1"/>
  <c r="H248" i="1" s="1"/>
  <c r="G182" i="3"/>
  <c r="G181" i="3" s="1"/>
  <c r="G180" i="3" s="1"/>
  <c r="I181" i="3"/>
  <c r="I180" i="3" s="1"/>
  <c r="H181" i="3"/>
  <c r="H180" i="3" s="1"/>
  <c r="I237" i="1"/>
  <c r="I236" i="1" s="1"/>
  <c r="H237" i="1"/>
  <c r="H236" i="1" s="1"/>
  <c r="G237" i="1"/>
  <c r="G236" i="1" s="1"/>
  <c r="G257" i="1"/>
  <c r="I204" i="1"/>
  <c r="I203" i="1" s="1"/>
  <c r="H204" i="1"/>
  <c r="H203" i="1" s="1"/>
  <c r="G204" i="1"/>
  <c r="G203" i="1" s="1"/>
  <c r="I361" i="3"/>
  <c r="H361" i="3"/>
  <c r="G361" i="3" l="1"/>
  <c r="H648" i="1" l="1"/>
  <c r="G648" i="1"/>
  <c r="H642" i="1"/>
  <c r="G75" i="3"/>
  <c r="I604" i="1"/>
  <c r="H604" i="1"/>
  <c r="G604" i="1"/>
  <c r="G391" i="3"/>
  <c r="G390" i="3" s="1"/>
  <c r="G389" i="3" s="1"/>
  <c r="G578" i="1"/>
  <c r="G577" i="1" s="1"/>
  <c r="G591" i="1"/>
  <c r="G431" i="3"/>
  <c r="G430" i="3" s="1"/>
  <c r="I431" i="3"/>
  <c r="I430" i="3" s="1"/>
  <c r="H431" i="3"/>
  <c r="H430" i="3" s="1"/>
  <c r="J362" i="3"/>
  <c r="K362" i="3"/>
  <c r="L362" i="3"/>
  <c r="M362" i="3"/>
  <c r="N362" i="3"/>
  <c r="O362" i="3"/>
  <c r="P362" i="3"/>
  <c r="Q362" i="3"/>
  <c r="R362" i="3"/>
  <c r="S362" i="3"/>
  <c r="T362" i="3"/>
  <c r="U362" i="3"/>
  <c r="H377" i="3"/>
  <c r="H376" i="3" s="1"/>
  <c r="H375" i="3" s="1"/>
  <c r="I377" i="3"/>
  <c r="I376" i="3" s="1"/>
  <c r="I375" i="3" s="1"/>
  <c r="G377" i="3"/>
  <c r="G376" i="3" s="1"/>
  <c r="G375" i="3" s="1"/>
  <c r="H380" i="3"/>
  <c r="H379" i="3" s="1"/>
  <c r="H378" i="3" s="1"/>
  <c r="I380" i="3"/>
  <c r="I379" i="3" s="1"/>
  <c r="I378" i="3" s="1"/>
  <c r="G380" i="3"/>
  <c r="G379" i="3" s="1"/>
  <c r="G378" i="3" s="1"/>
  <c r="I513" i="1"/>
  <c r="I512" i="1" s="1"/>
  <c r="H513" i="1"/>
  <c r="H512" i="1" s="1"/>
  <c r="G513" i="1"/>
  <c r="G512" i="1" s="1"/>
  <c r="G510" i="1"/>
  <c r="G509" i="1" s="1"/>
  <c r="I510" i="1"/>
  <c r="I509" i="1" s="1"/>
  <c r="H510" i="1"/>
  <c r="H509" i="1" s="1"/>
  <c r="H409" i="1" l="1"/>
  <c r="I409" i="1"/>
  <c r="G409" i="1"/>
  <c r="G475" i="3" l="1"/>
  <c r="G474" i="3" s="1"/>
  <c r="I474" i="3"/>
  <c r="H474" i="3"/>
  <c r="H400" i="1"/>
  <c r="I400" i="1"/>
  <c r="G400" i="1"/>
  <c r="I425" i="1"/>
  <c r="O698" i="1" s="1"/>
  <c r="O741" i="1" s="1"/>
  <c r="H425" i="1"/>
  <c r="G425" i="1"/>
  <c r="I139" i="1" l="1"/>
  <c r="G139" i="1"/>
  <c r="H139" i="1"/>
  <c r="G714" i="1"/>
  <c r="I479" i="1"/>
  <c r="H483" i="1" l="1"/>
  <c r="I483" i="1"/>
  <c r="G483" i="1"/>
  <c r="H481" i="1"/>
  <c r="I481" i="1"/>
  <c r="G481" i="1"/>
  <c r="H479" i="1"/>
  <c r="G479" i="1"/>
  <c r="I356" i="1"/>
  <c r="H356" i="1"/>
  <c r="G356" i="1"/>
  <c r="I732" i="1"/>
  <c r="H732" i="1"/>
  <c r="G732" i="1"/>
  <c r="I730" i="1"/>
  <c r="H730" i="1"/>
  <c r="J108" i="3"/>
  <c r="K108" i="3"/>
  <c r="L108" i="3"/>
  <c r="M108" i="3"/>
  <c r="N108" i="3"/>
  <c r="O108" i="3"/>
  <c r="P108" i="3"/>
  <c r="Q108" i="3"/>
  <c r="R108" i="3"/>
  <c r="S108" i="3"/>
  <c r="T108" i="3"/>
  <c r="U108" i="3"/>
  <c r="J171" i="1"/>
  <c r="K171" i="1"/>
  <c r="L171" i="1"/>
  <c r="M171" i="1"/>
  <c r="J388" i="1"/>
  <c r="K388" i="1"/>
  <c r="L388" i="1"/>
  <c r="M388" i="1"/>
  <c r="H488" i="1"/>
  <c r="I488" i="1"/>
  <c r="J488" i="1"/>
  <c r="K488" i="1"/>
  <c r="L488" i="1"/>
  <c r="M488" i="1"/>
  <c r="H441" i="3"/>
  <c r="H440" i="3" s="1"/>
  <c r="H439" i="3" s="1"/>
  <c r="I441" i="3"/>
  <c r="I440" i="3" s="1"/>
  <c r="I439" i="3" s="1"/>
  <c r="G441" i="3"/>
  <c r="G440" i="3" s="1"/>
  <c r="G439" i="3" s="1"/>
  <c r="I686" i="1"/>
  <c r="I685" i="1" s="1"/>
  <c r="H686" i="1"/>
  <c r="H685" i="1" s="1"/>
  <c r="G686" i="1"/>
  <c r="G685" i="1" s="1"/>
  <c r="I485" i="3"/>
  <c r="H485" i="3"/>
  <c r="G485" i="3"/>
  <c r="K484" i="3"/>
  <c r="J484" i="3"/>
  <c r="I483" i="3"/>
  <c r="H483" i="3"/>
  <c r="G483" i="3"/>
  <c r="I480" i="3"/>
  <c r="H480" i="3"/>
  <c r="G480" i="3"/>
  <c r="I478" i="3"/>
  <c r="H478" i="3"/>
  <c r="G478" i="3"/>
  <c r="I411" i="1"/>
  <c r="I408" i="1" s="1"/>
  <c r="H411" i="1"/>
  <c r="H408" i="1" s="1"/>
  <c r="G411" i="1"/>
  <c r="G408" i="1" s="1"/>
  <c r="K410" i="1"/>
  <c r="J410" i="1"/>
  <c r="H482" i="3" l="1"/>
  <c r="H477" i="3"/>
  <c r="H476" i="3" s="1"/>
  <c r="J479" i="3" s="1"/>
  <c r="I477" i="3"/>
  <c r="I482" i="3"/>
  <c r="G482" i="3"/>
  <c r="G477" i="3"/>
  <c r="G476" i="3" l="1"/>
  <c r="I476" i="3"/>
  <c r="K479" i="3" s="1"/>
  <c r="H60" i="3"/>
  <c r="I60" i="3"/>
  <c r="H66" i="3"/>
  <c r="I66" i="3"/>
  <c r="H115" i="3" l="1"/>
  <c r="H114" i="3" s="1"/>
  <c r="H113" i="3" s="1"/>
  <c r="H112" i="3" s="1"/>
  <c r="H111" i="3" s="1"/>
  <c r="H110" i="3" s="1"/>
  <c r="I115" i="3"/>
  <c r="I114" i="3" s="1"/>
  <c r="I113" i="3" s="1"/>
  <c r="I112" i="3" s="1"/>
  <c r="I111" i="3" s="1"/>
  <c r="I110" i="3" s="1"/>
  <c r="G115" i="3"/>
  <c r="I300" i="1"/>
  <c r="I299" i="1" s="1"/>
  <c r="I298" i="1" s="1"/>
  <c r="I297" i="1" s="1"/>
  <c r="I296" i="1" s="1"/>
  <c r="H300" i="1"/>
  <c r="H299" i="1" s="1"/>
  <c r="H298" i="1" s="1"/>
  <c r="H297" i="1" s="1"/>
  <c r="H296" i="1" s="1"/>
  <c r="G300" i="1"/>
  <c r="G299" i="1" s="1"/>
  <c r="G298" i="1" s="1"/>
  <c r="G297" i="1" s="1"/>
  <c r="G296" i="1" s="1"/>
  <c r="G114" i="3" l="1"/>
  <c r="G113" i="3" s="1"/>
  <c r="G112" i="3" s="1"/>
  <c r="G111" i="3" s="1"/>
  <c r="G110" i="3" s="1"/>
  <c r="H555" i="3"/>
  <c r="I555" i="3"/>
  <c r="G555" i="3"/>
  <c r="H557" i="3"/>
  <c r="I557" i="3"/>
  <c r="G557" i="3"/>
  <c r="H547" i="3"/>
  <c r="H546" i="3" s="1"/>
  <c r="H545" i="3" s="1"/>
  <c r="H544" i="3" s="1"/>
  <c r="I547" i="3"/>
  <c r="I546" i="3" s="1"/>
  <c r="I545" i="3" s="1"/>
  <c r="I544" i="3" s="1"/>
  <c r="G547" i="3"/>
  <c r="G546" i="3" s="1"/>
  <c r="G545" i="3" s="1"/>
  <c r="G544" i="3" s="1"/>
  <c r="J541" i="3"/>
  <c r="K541" i="3"/>
  <c r="L541" i="3"/>
  <c r="M541" i="3"/>
  <c r="N541" i="3"/>
  <c r="O541" i="3"/>
  <c r="P541" i="3"/>
  <c r="Q541" i="3"/>
  <c r="R541" i="3"/>
  <c r="S541" i="3"/>
  <c r="T541" i="3"/>
  <c r="U541" i="3"/>
  <c r="H452" i="3"/>
  <c r="I452" i="3"/>
  <c r="G452" i="3"/>
  <c r="H422" i="3"/>
  <c r="I422" i="3"/>
  <c r="G422" i="3"/>
  <c r="H415" i="3"/>
  <c r="I415" i="3"/>
  <c r="G415" i="3"/>
  <c r="H406" i="3"/>
  <c r="I406" i="3"/>
  <c r="G406" i="3"/>
  <c r="G394" i="3"/>
  <c r="H368" i="3"/>
  <c r="I368" i="3"/>
  <c r="G368" i="3"/>
  <c r="H346" i="3"/>
  <c r="I346" i="3"/>
  <c r="G346" i="3"/>
  <c r="H338" i="3"/>
  <c r="I338" i="3"/>
  <c r="G338" i="3"/>
  <c r="H330" i="3"/>
  <c r="I330" i="3"/>
  <c r="G330" i="3"/>
  <c r="H292" i="3"/>
  <c r="I292" i="3"/>
  <c r="G292" i="3"/>
  <c r="H203" i="3"/>
  <c r="I203" i="3"/>
  <c r="G203" i="3"/>
  <c r="H200" i="3"/>
  <c r="I200" i="3"/>
  <c r="G200" i="3"/>
  <c r="H184" i="3"/>
  <c r="I184" i="3"/>
  <c r="G184" i="3"/>
  <c r="H187" i="3"/>
  <c r="I187" i="3"/>
  <c r="G187" i="3"/>
  <c r="H196" i="3"/>
  <c r="I196" i="3"/>
  <c r="G196" i="3"/>
  <c r="H104" i="3"/>
  <c r="I104" i="3"/>
  <c r="G104" i="3"/>
  <c r="J87" i="3"/>
  <c r="K87" i="3"/>
  <c r="L87" i="3"/>
  <c r="M87" i="3"/>
  <c r="N87" i="3"/>
  <c r="O87" i="3"/>
  <c r="P87" i="3"/>
  <c r="Q87" i="3"/>
  <c r="R87" i="3"/>
  <c r="S87" i="3"/>
  <c r="T87" i="3"/>
  <c r="U87" i="3"/>
  <c r="H90" i="3"/>
  <c r="H87" i="3" s="1"/>
  <c r="I90" i="3"/>
  <c r="I87" i="3" s="1"/>
  <c r="G90" i="3"/>
  <c r="G87" i="3" s="1"/>
  <c r="H14" i="3"/>
  <c r="I14" i="3"/>
  <c r="G14" i="3"/>
  <c r="G178" i="3" l="1"/>
  <c r="G177" i="3" s="1"/>
  <c r="G176" i="3" s="1"/>
  <c r="H178" i="3"/>
  <c r="H177" i="3" s="1"/>
  <c r="H176" i="3" s="1"/>
  <c r="I178" i="3"/>
  <c r="I177" i="3" s="1"/>
  <c r="I176" i="3" s="1"/>
  <c r="H482" i="1"/>
  <c r="I482" i="1"/>
  <c r="G482" i="1"/>
  <c r="J597" i="1"/>
  <c r="K597" i="1"/>
  <c r="L597" i="1"/>
  <c r="M597" i="1"/>
  <c r="J441" i="1"/>
  <c r="K441" i="1"/>
  <c r="L441" i="1"/>
  <c r="M441" i="1"/>
  <c r="L394" i="1"/>
  <c r="M394" i="1"/>
  <c r="I104" i="1" l="1"/>
  <c r="I103" i="1" s="1"/>
  <c r="H104" i="1"/>
  <c r="H103" i="1" s="1"/>
  <c r="G104" i="1"/>
  <c r="G103" i="1" s="1"/>
  <c r="H66" i="1"/>
  <c r="H65" i="1" s="1"/>
  <c r="I66" i="1"/>
  <c r="I65" i="1" s="1"/>
  <c r="G66" i="1"/>
  <c r="G65" i="1" s="1"/>
  <c r="H56" i="1"/>
  <c r="I56" i="1"/>
  <c r="G671" i="1" l="1"/>
  <c r="I696" i="1"/>
  <c r="I695" i="1" s="1"/>
  <c r="I694" i="1" s="1"/>
  <c r="I693" i="1" s="1"/>
  <c r="I692" i="1" s="1"/>
  <c r="I691" i="1" s="1"/>
  <c r="H696" i="1"/>
  <c r="H695" i="1" s="1"/>
  <c r="H694" i="1" s="1"/>
  <c r="H693" i="1" s="1"/>
  <c r="H692" i="1" s="1"/>
  <c r="H691" i="1" s="1"/>
  <c r="G696" i="1"/>
  <c r="G695" i="1" s="1"/>
  <c r="G694" i="1" s="1"/>
  <c r="G693" i="1" s="1"/>
  <c r="G692" i="1" s="1"/>
  <c r="G691" i="1" s="1"/>
  <c r="Q388" i="3"/>
  <c r="R388" i="3"/>
  <c r="S388" i="3"/>
  <c r="U388" i="3"/>
  <c r="H403" i="3"/>
  <c r="H402" i="3" s="1"/>
  <c r="H401" i="3" s="1"/>
  <c r="I403" i="3"/>
  <c r="I402" i="3" s="1"/>
  <c r="I401" i="3" s="1"/>
  <c r="G403" i="3"/>
  <c r="G402" i="3" s="1"/>
  <c r="G401" i="3" s="1"/>
  <c r="I587" i="1"/>
  <c r="I586" i="1" s="1"/>
  <c r="H587" i="1"/>
  <c r="H586" i="1" s="1"/>
  <c r="G587" i="1"/>
  <c r="G586" i="1" s="1"/>
  <c r="G74" i="3"/>
  <c r="G73" i="3" s="1"/>
  <c r="I74" i="3"/>
  <c r="I73" i="3" s="1"/>
  <c r="H74" i="3"/>
  <c r="H73" i="3" s="1"/>
  <c r="I595" i="1"/>
  <c r="I594" i="1" s="1"/>
  <c r="I593" i="1" s="1"/>
  <c r="H595" i="1"/>
  <c r="H594" i="1" s="1"/>
  <c r="H593" i="1" s="1"/>
  <c r="G595" i="1"/>
  <c r="G594" i="1" s="1"/>
  <c r="G593" i="1" s="1"/>
  <c r="I22" i="1"/>
  <c r="I21" i="1" s="1"/>
  <c r="H22" i="1"/>
  <c r="H21" i="1" s="1"/>
  <c r="G22" i="1"/>
  <c r="G21" i="1" s="1"/>
  <c r="G288" i="3" l="1"/>
  <c r="G287" i="3" s="1"/>
  <c r="I288" i="3"/>
  <c r="I287" i="3" s="1"/>
  <c r="H288" i="3"/>
  <c r="H287" i="3" s="1"/>
  <c r="H217" i="3"/>
  <c r="I217" i="3"/>
  <c r="H291" i="3"/>
  <c r="H290" i="3" s="1"/>
  <c r="I291" i="3"/>
  <c r="I290" i="3" s="1"/>
  <c r="G291" i="3"/>
  <c r="G290" i="3" s="1"/>
  <c r="K51" i="1"/>
  <c r="K50" i="1" s="1"/>
  <c r="L51" i="1"/>
  <c r="L50" i="1" s="1"/>
  <c r="M51" i="1"/>
  <c r="M50" i="1" s="1"/>
  <c r="G280" i="3"/>
  <c r="G279" i="3" s="1"/>
  <c r="G278" i="3" s="1"/>
  <c r="I279" i="3"/>
  <c r="I278" i="3" s="1"/>
  <c r="H279" i="3"/>
  <c r="H278" i="3" s="1"/>
  <c r="I34" i="1"/>
  <c r="I33" i="1" s="1"/>
  <c r="H34" i="1"/>
  <c r="H33" i="1" s="1"/>
  <c r="G34" i="1"/>
  <c r="G33" i="1" s="1"/>
  <c r="G277" i="3"/>
  <c r="I28" i="1"/>
  <c r="I27" i="1" s="1"/>
  <c r="H28" i="1"/>
  <c r="H27" i="1" s="1"/>
  <c r="G28" i="1"/>
  <c r="G27" i="1" s="1"/>
  <c r="G56" i="1"/>
  <c r="J257" i="1"/>
  <c r="K257" i="1"/>
  <c r="L257" i="1"/>
  <c r="M257" i="1"/>
  <c r="H169" i="1"/>
  <c r="H168" i="1" s="1"/>
  <c r="I169" i="1"/>
  <c r="I168" i="1" s="1"/>
  <c r="G169" i="1"/>
  <c r="G168" i="1" s="1"/>
  <c r="G37" i="3"/>
  <c r="J37" i="3" s="1"/>
  <c r="I36" i="3"/>
  <c r="I35" i="3" s="1"/>
  <c r="H36" i="3"/>
  <c r="H35" i="3" s="1"/>
  <c r="J144" i="1"/>
  <c r="I143" i="1"/>
  <c r="I142" i="1" s="1"/>
  <c r="H143" i="1"/>
  <c r="H142" i="1" s="1"/>
  <c r="G143" i="1"/>
  <c r="G142" i="1" s="1"/>
  <c r="H130" i="3"/>
  <c r="I130" i="3"/>
  <c r="G130" i="3"/>
  <c r="G36" i="3" l="1"/>
  <c r="G35" i="3" s="1"/>
  <c r="H107" i="3" l="1"/>
  <c r="I107" i="3"/>
  <c r="H448" i="3"/>
  <c r="H447" i="3" s="1"/>
  <c r="H446" i="3" s="1"/>
  <c r="H445" i="3" s="1"/>
  <c r="I448" i="3"/>
  <c r="I447" i="3" s="1"/>
  <c r="I446" i="3" s="1"/>
  <c r="I445" i="3" s="1"/>
  <c r="G448" i="3"/>
  <c r="G447" i="3" s="1"/>
  <c r="G446" i="3" s="1"/>
  <c r="G445" i="3" s="1"/>
  <c r="I538" i="1"/>
  <c r="I537" i="1" s="1"/>
  <c r="I536" i="1" s="1"/>
  <c r="H538" i="1"/>
  <c r="H537" i="1" s="1"/>
  <c r="H536" i="1" s="1"/>
  <c r="G538" i="1"/>
  <c r="G537" i="1" s="1"/>
  <c r="G536" i="1" s="1"/>
  <c r="G63" i="3"/>
  <c r="G62" i="3" s="1"/>
  <c r="G61" i="3" s="1"/>
  <c r="I62" i="3"/>
  <c r="I61" i="3" s="1"/>
  <c r="H62" i="3"/>
  <c r="H61" i="3" s="1"/>
  <c r="I644" i="1"/>
  <c r="I643" i="1" s="1"/>
  <c r="H644" i="1"/>
  <c r="H643" i="1" s="1"/>
  <c r="G644" i="1"/>
  <c r="G643" i="1" s="1"/>
  <c r="H237" i="3"/>
  <c r="I237" i="3"/>
  <c r="H234" i="3"/>
  <c r="H233" i="3" s="1"/>
  <c r="H232" i="3" s="1"/>
  <c r="I234" i="3"/>
  <c r="I233" i="3" s="1"/>
  <c r="I232" i="3" s="1"/>
  <c r="G234" i="3"/>
  <c r="G233" i="3" s="1"/>
  <c r="G232" i="3" s="1"/>
  <c r="I626" i="1"/>
  <c r="I625" i="1" s="1"/>
  <c r="H626" i="1"/>
  <c r="H625" i="1" s="1"/>
  <c r="G626" i="1"/>
  <c r="G625" i="1" s="1"/>
  <c r="H397" i="3"/>
  <c r="H396" i="3" s="1"/>
  <c r="H395" i="3" s="1"/>
  <c r="I397" i="3"/>
  <c r="I396" i="3" s="1"/>
  <c r="I395" i="3" s="1"/>
  <c r="G397" i="3"/>
  <c r="G396" i="3" s="1"/>
  <c r="G395" i="3" s="1"/>
  <c r="I584" i="1"/>
  <c r="I583" i="1" s="1"/>
  <c r="H584" i="1"/>
  <c r="H583" i="1" s="1"/>
  <c r="G584" i="1"/>
  <c r="G583" i="1" s="1"/>
  <c r="H27" i="3"/>
  <c r="H26" i="3" s="1"/>
  <c r="H25" i="3" s="1"/>
  <c r="I27" i="3"/>
  <c r="I26" i="3" s="1"/>
  <c r="I25" i="3" s="1"/>
  <c r="G27" i="3"/>
  <c r="G26" i="3" s="1"/>
  <c r="G25" i="3" s="1"/>
  <c r="I459" i="1"/>
  <c r="I458" i="1" s="1"/>
  <c r="H459" i="1"/>
  <c r="H458" i="1" s="1"/>
  <c r="G459" i="1"/>
  <c r="G458" i="1" s="1"/>
  <c r="H24" i="3"/>
  <c r="H23" i="3" s="1"/>
  <c r="H22" i="3" s="1"/>
  <c r="I24" i="3"/>
  <c r="I23" i="3" s="1"/>
  <c r="I22" i="3" s="1"/>
  <c r="G24" i="3"/>
  <c r="G23" i="3" s="1"/>
  <c r="G22" i="3" s="1"/>
  <c r="I456" i="1"/>
  <c r="I455" i="1" s="1"/>
  <c r="H456" i="1"/>
  <c r="H455" i="1" s="1"/>
  <c r="G456" i="1"/>
  <c r="G455" i="1" s="1"/>
  <c r="H455" i="3"/>
  <c r="I455" i="3"/>
  <c r="G455" i="3"/>
  <c r="H387" i="3" l="1"/>
  <c r="H386" i="3" s="1"/>
  <c r="H385" i="3" s="1"/>
  <c r="I387" i="3"/>
  <c r="I386" i="3" s="1"/>
  <c r="I385" i="3" s="1"/>
  <c r="G387" i="3"/>
  <c r="G386" i="3" s="1"/>
  <c r="G385" i="3" s="1"/>
  <c r="I470" i="1"/>
  <c r="I469" i="1" s="1"/>
  <c r="H470" i="1"/>
  <c r="H469" i="1" s="1"/>
  <c r="G470" i="1"/>
  <c r="G469" i="1" s="1"/>
  <c r="J46" i="3"/>
  <c r="J43" i="3" s="1"/>
  <c r="K46" i="3"/>
  <c r="K43" i="3" s="1"/>
  <c r="L46" i="3"/>
  <c r="L43" i="3" s="1"/>
  <c r="M46" i="3"/>
  <c r="M43" i="3" s="1"/>
  <c r="N46" i="3"/>
  <c r="N43" i="3" s="1"/>
  <c r="O46" i="3"/>
  <c r="O43" i="3" s="1"/>
  <c r="P46" i="3"/>
  <c r="P43" i="3" s="1"/>
  <c r="Q46" i="3"/>
  <c r="Q43" i="3" s="1"/>
  <c r="R46" i="3"/>
  <c r="R43" i="3" s="1"/>
  <c r="S46" i="3"/>
  <c r="S43" i="3" s="1"/>
  <c r="T46" i="3"/>
  <c r="T43" i="3" s="1"/>
  <c r="U46" i="3"/>
  <c r="U43" i="3" s="1"/>
  <c r="I47" i="3"/>
  <c r="I46" i="3" s="1"/>
  <c r="H47" i="3"/>
  <c r="H46" i="3" s="1"/>
  <c r="H140" i="1"/>
  <c r="I140" i="1"/>
  <c r="H731" i="1"/>
  <c r="G66" i="3" l="1"/>
  <c r="G65" i="3" s="1"/>
  <c r="G64" i="3" s="1"/>
  <c r="G60" i="3"/>
  <c r="G59" i="3" s="1"/>
  <c r="G58" i="3" s="1"/>
  <c r="I65" i="3"/>
  <c r="I64" i="3" s="1"/>
  <c r="H65" i="3"/>
  <c r="H64" i="3" s="1"/>
  <c r="I59" i="3"/>
  <c r="I58" i="3" s="1"/>
  <c r="H59" i="3"/>
  <c r="H58" i="3" s="1"/>
  <c r="I647" i="1"/>
  <c r="I646" i="1" s="1"/>
  <c r="H647" i="1"/>
  <c r="H646" i="1" s="1"/>
  <c r="G647" i="1"/>
  <c r="G646" i="1" s="1"/>
  <c r="I641" i="1"/>
  <c r="I640" i="1" s="1"/>
  <c r="I639" i="1" s="1"/>
  <c r="H641" i="1"/>
  <c r="H640" i="1" s="1"/>
  <c r="G641" i="1"/>
  <c r="G640" i="1" s="1"/>
  <c r="G639" i="1" s="1"/>
  <c r="H438" i="3"/>
  <c r="I438" i="3"/>
  <c r="G438" i="3"/>
  <c r="H162" i="3"/>
  <c r="I162" i="3"/>
  <c r="G162" i="3"/>
  <c r="H639" i="1" l="1"/>
  <c r="H638" i="1" s="1"/>
  <c r="H637" i="1" s="1"/>
  <c r="G638" i="1"/>
  <c r="G637" i="1" s="1"/>
  <c r="I638" i="1"/>
  <c r="I637" i="1" s="1"/>
  <c r="G107" i="3" l="1"/>
  <c r="I231" i="3" l="1"/>
  <c r="I230" i="3" s="1"/>
  <c r="I229" i="3" s="1"/>
  <c r="H231" i="3"/>
  <c r="H230" i="3" s="1"/>
  <c r="H229" i="3" s="1"/>
  <c r="G231" i="3"/>
  <c r="G230" i="3" s="1"/>
  <c r="G229" i="3" s="1"/>
  <c r="G632" i="1"/>
  <c r="G631" i="1" s="1"/>
  <c r="I632" i="1"/>
  <c r="I631" i="1" s="1"/>
  <c r="H632" i="1"/>
  <c r="H631" i="1" s="1"/>
  <c r="I201" i="1"/>
  <c r="I200" i="1" s="1"/>
  <c r="H201" i="1"/>
  <c r="H200" i="1" s="1"/>
  <c r="G201" i="1"/>
  <c r="G200" i="1" s="1"/>
  <c r="I400" i="3" l="1"/>
  <c r="H400" i="3"/>
  <c r="G400" i="3"/>
  <c r="I458" i="3"/>
  <c r="H458" i="3"/>
  <c r="G458" i="3"/>
  <c r="G461" i="3"/>
  <c r="G364" i="1"/>
  <c r="I721" i="1" l="1"/>
  <c r="I720" i="1" s="1"/>
  <c r="I719" i="1" s="1"/>
  <c r="I718" i="1" s="1"/>
  <c r="I717" i="1" s="1"/>
  <c r="H721" i="1"/>
  <c r="H720" i="1" s="1"/>
  <c r="H719" i="1" s="1"/>
  <c r="H718" i="1" s="1"/>
  <c r="H717" i="1" s="1"/>
  <c r="G721" i="1"/>
  <c r="G720" i="1" s="1"/>
  <c r="G719" i="1" s="1"/>
  <c r="G718" i="1" s="1"/>
  <c r="G717" i="1" s="1"/>
  <c r="G217" i="3" l="1"/>
  <c r="G216" i="3" s="1"/>
  <c r="G215" i="3" s="1"/>
  <c r="G214" i="3" s="1"/>
  <c r="I216" i="3"/>
  <c r="I215" i="3" s="1"/>
  <c r="I214" i="3" s="1"/>
  <c r="H216" i="3"/>
  <c r="H215" i="3" s="1"/>
  <c r="H214" i="3" s="1"/>
  <c r="I599" i="1"/>
  <c r="I598" i="1" s="1"/>
  <c r="I597" i="1" s="1"/>
  <c r="H599" i="1"/>
  <c r="H598" i="1" s="1"/>
  <c r="H597" i="1" s="1"/>
  <c r="G599" i="1"/>
  <c r="G598" i="1" s="1"/>
  <c r="G597" i="1" s="1"/>
  <c r="I161" i="3" l="1"/>
  <c r="I160" i="3" s="1"/>
  <c r="I159" i="3" s="1"/>
  <c r="I158" i="3" s="1"/>
  <c r="H161" i="3"/>
  <c r="H160" i="3" s="1"/>
  <c r="H159" i="3" s="1"/>
  <c r="H158" i="3" s="1"/>
  <c r="G161" i="3"/>
  <c r="G160" i="3" s="1"/>
  <c r="G159" i="3" s="1"/>
  <c r="G158" i="3" s="1"/>
  <c r="I233" i="1"/>
  <c r="I232" i="1" s="1"/>
  <c r="I231" i="1" s="1"/>
  <c r="I230" i="1" s="1"/>
  <c r="H233" i="1"/>
  <c r="H232" i="1" s="1"/>
  <c r="H231" i="1" s="1"/>
  <c r="H230" i="1" s="1"/>
  <c r="G233" i="1"/>
  <c r="G232" i="1" s="1"/>
  <c r="G231" i="1" s="1"/>
  <c r="G230" i="1" s="1"/>
  <c r="I437" i="3"/>
  <c r="I436" i="3" s="1"/>
  <c r="H437" i="3"/>
  <c r="H436" i="3" s="1"/>
  <c r="G437" i="3"/>
  <c r="G436" i="3" s="1"/>
  <c r="I680" i="1"/>
  <c r="I679" i="1" s="1"/>
  <c r="H680" i="1"/>
  <c r="H679" i="1" s="1"/>
  <c r="G680" i="1"/>
  <c r="G679" i="1" s="1"/>
  <c r="T214" i="3" l="1"/>
  <c r="I322" i="3"/>
  <c r="I321" i="3" s="1"/>
  <c r="H322" i="3"/>
  <c r="H321" i="3" s="1"/>
  <c r="G322" i="3"/>
  <c r="G321" i="3" s="1"/>
  <c r="K423" i="1" l="1"/>
  <c r="K394" i="1" s="1"/>
  <c r="J423" i="1"/>
  <c r="J394" i="1" s="1"/>
  <c r="J592" i="1" l="1"/>
  <c r="J175" i="1"/>
  <c r="H374" i="3" l="1"/>
  <c r="H373" i="3" s="1"/>
  <c r="H372" i="3" s="1"/>
  <c r="I374" i="3"/>
  <c r="I373" i="3" s="1"/>
  <c r="I372" i="3" s="1"/>
  <c r="G374" i="3"/>
  <c r="G373" i="3" s="1"/>
  <c r="G372" i="3" s="1"/>
  <c r="I507" i="1"/>
  <c r="I506" i="1" s="1"/>
  <c r="H507" i="1"/>
  <c r="H506" i="1" s="1"/>
  <c r="G507" i="1"/>
  <c r="G506" i="1" s="1"/>
  <c r="H371" i="3"/>
  <c r="H370" i="3" s="1"/>
  <c r="H369" i="3" s="1"/>
  <c r="I371" i="3"/>
  <c r="I370" i="3" s="1"/>
  <c r="I369" i="3" s="1"/>
  <c r="G371" i="3"/>
  <c r="G370" i="3" s="1"/>
  <c r="G369" i="3" s="1"/>
  <c r="I504" i="1"/>
  <c r="I503" i="1" s="1"/>
  <c r="H504" i="1"/>
  <c r="H503" i="1" s="1"/>
  <c r="G504" i="1"/>
  <c r="G503" i="1" s="1"/>
  <c r="I129" i="3"/>
  <c r="I128" i="3" s="1"/>
  <c r="H129" i="3"/>
  <c r="H128" i="3" s="1"/>
  <c r="G129" i="3"/>
  <c r="G128" i="3" s="1"/>
  <c r="G127" i="3"/>
  <c r="G133" i="3"/>
  <c r="G132" i="3" s="1"/>
  <c r="G131" i="3" s="1"/>
  <c r="I133" i="3"/>
  <c r="I132" i="3" s="1"/>
  <c r="I131" i="3" s="1"/>
  <c r="H268" i="1"/>
  <c r="H267" i="1" s="1"/>
  <c r="I268" i="1"/>
  <c r="I267" i="1" s="1"/>
  <c r="G268" i="1"/>
  <c r="G267" i="1" s="1"/>
  <c r="J484" i="1" l="1"/>
  <c r="J449" i="3"/>
  <c r="K449" i="3"/>
  <c r="L449" i="3"/>
  <c r="M449" i="3"/>
  <c r="N449" i="3"/>
  <c r="O449" i="3"/>
  <c r="G460" i="3"/>
  <c r="G459" i="3" s="1"/>
  <c r="I457" i="3"/>
  <c r="I456" i="3" s="1"/>
  <c r="H457" i="3"/>
  <c r="H456" i="3" s="1"/>
  <c r="G457" i="3"/>
  <c r="G456" i="3" s="1"/>
  <c r="I454" i="3"/>
  <c r="I453" i="3" s="1"/>
  <c r="H454" i="3"/>
  <c r="H453" i="3" s="1"/>
  <c r="G454" i="3"/>
  <c r="G453" i="3" s="1"/>
  <c r="G612" i="1"/>
  <c r="G611" i="1" s="1"/>
  <c r="I609" i="1"/>
  <c r="I608" i="1" s="1"/>
  <c r="H609" i="1"/>
  <c r="H608" i="1" s="1"/>
  <c r="G609" i="1"/>
  <c r="G608" i="1" s="1"/>
  <c r="I606" i="1"/>
  <c r="I605" i="1" s="1"/>
  <c r="H606" i="1"/>
  <c r="H605" i="1" s="1"/>
  <c r="G606" i="1"/>
  <c r="G605" i="1" s="1"/>
  <c r="I603" i="1"/>
  <c r="I602" i="1" s="1"/>
  <c r="H603" i="1"/>
  <c r="H602" i="1" s="1"/>
  <c r="G603" i="1"/>
  <c r="G602" i="1" s="1"/>
  <c r="G601" i="1" l="1"/>
  <c r="G592" i="1" s="1"/>
  <c r="F30" i="2" s="1"/>
  <c r="I612" i="1"/>
  <c r="I611" i="1" s="1"/>
  <c r="I461" i="3"/>
  <c r="H612" i="1"/>
  <c r="H611" i="1" s="1"/>
  <c r="H461" i="3"/>
  <c r="H601" i="1" l="1"/>
  <c r="H592" i="1" s="1"/>
  <c r="G30" i="2" s="1"/>
  <c r="I601" i="1"/>
  <c r="I592" i="1" s="1"/>
  <c r="H30" i="2" s="1"/>
  <c r="I460" i="3"/>
  <c r="I459" i="3" s="1"/>
  <c r="H460" i="3"/>
  <c r="H459" i="3" s="1"/>
  <c r="I106" i="3" l="1"/>
  <c r="I105" i="3" s="1"/>
  <c r="H106" i="3"/>
  <c r="H105" i="3" s="1"/>
  <c r="G106" i="3"/>
  <c r="G105" i="3" s="1"/>
  <c r="I573" i="1"/>
  <c r="I572" i="1" s="1"/>
  <c r="H573" i="1"/>
  <c r="H572" i="1" s="1"/>
  <c r="G573" i="1"/>
  <c r="G572" i="1" s="1"/>
  <c r="H556" i="3" l="1"/>
  <c r="I556" i="3"/>
  <c r="G556" i="3"/>
  <c r="H554" i="3"/>
  <c r="G554" i="3"/>
  <c r="H133" i="3"/>
  <c r="H132" i="3" s="1"/>
  <c r="H131" i="3" s="1"/>
  <c r="H553" i="3" l="1"/>
  <c r="H552" i="3" s="1"/>
  <c r="G553" i="3"/>
  <c r="G552" i="3" s="1"/>
  <c r="I418" i="3"/>
  <c r="J492" i="1"/>
  <c r="J524" i="1"/>
  <c r="J549" i="1"/>
  <c r="J660" i="1"/>
  <c r="H399" i="3"/>
  <c r="H398" i="3" s="1"/>
  <c r="I399" i="3"/>
  <c r="I398" i="3" s="1"/>
  <c r="H617" i="1"/>
  <c r="H616" i="1" s="1"/>
  <c r="H615" i="1" s="1"/>
  <c r="H614" i="1" s="1"/>
  <c r="G31" i="2" s="1"/>
  <c r="I617" i="1"/>
  <c r="I616" i="1" s="1"/>
  <c r="I615" i="1" s="1"/>
  <c r="I614" i="1" s="1"/>
  <c r="H31" i="2" s="1"/>
  <c r="G399" i="3"/>
  <c r="G398" i="3" s="1"/>
  <c r="G617" i="1"/>
  <c r="G616" i="1" s="1"/>
  <c r="G615" i="1" s="1"/>
  <c r="G614" i="1" s="1"/>
  <c r="F31" i="2" s="1"/>
  <c r="J381" i="1"/>
  <c r="I490" i="1"/>
  <c r="I487" i="1" s="1"/>
  <c r="I486" i="1" s="1"/>
  <c r="I485" i="1" s="1"/>
  <c r="I484" i="1" s="1"/>
  <c r="H490" i="1"/>
  <c r="H487" i="1" s="1"/>
  <c r="H486" i="1" s="1"/>
  <c r="H485" i="1" s="1"/>
  <c r="H484" i="1" s="1"/>
  <c r="G490" i="1"/>
  <c r="G488" i="1"/>
  <c r="G487" i="1" l="1"/>
  <c r="G486" i="1" s="1"/>
  <c r="G485" i="1" s="1"/>
  <c r="F18" i="2" s="1"/>
  <c r="H451" i="3"/>
  <c r="I451" i="3"/>
  <c r="G451" i="3"/>
  <c r="G450" i="3" s="1"/>
  <c r="G449" i="3" s="1"/>
  <c r="I30" i="2"/>
  <c r="I554" i="3"/>
  <c r="I553" i="3" s="1"/>
  <c r="I552" i="3" s="1"/>
  <c r="H450" i="3" l="1"/>
  <c r="H449" i="3" s="1"/>
  <c r="I450" i="3"/>
  <c r="I449" i="3" s="1"/>
  <c r="G18" i="2" l="1"/>
  <c r="H18" i="2"/>
  <c r="J722" i="1"/>
  <c r="P388" i="3"/>
  <c r="T449" i="3" l="1"/>
  <c r="G53" i="1"/>
  <c r="H88" i="1"/>
  <c r="I88" i="1"/>
  <c r="G88" i="1"/>
  <c r="G109" i="1"/>
  <c r="G55" i="1" l="1"/>
  <c r="I117" i="1"/>
  <c r="I116" i="1" s="1"/>
  <c r="H117" i="1"/>
  <c r="H116" i="1" s="1"/>
  <c r="G117" i="1"/>
  <c r="G116" i="1" s="1"/>
  <c r="G115" i="1" s="1"/>
  <c r="I123" i="1"/>
  <c r="I122" i="1" s="1"/>
  <c r="H123" i="1"/>
  <c r="H122" i="1" s="1"/>
  <c r="G123" i="1"/>
  <c r="G122" i="1" s="1"/>
  <c r="G121" i="1" s="1"/>
  <c r="H274" i="3"/>
  <c r="I274" i="3"/>
  <c r="G274" i="3"/>
  <c r="H270" i="3"/>
  <c r="I270" i="3"/>
  <c r="G270" i="3"/>
  <c r="H84" i="1"/>
  <c r="I84" i="1"/>
  <c r="G84" i="1"/>
  <c r="G83" i="1" s="1"/>
  <c r="H296" i="3"/>
  <c r="I296" i="3"/>
  <c r="G296" i="3"/>
  <c r="I59" i="1"/>
  <c r="I58" i="1" s="1"/>
  <c r="H59" i="1"/>
  <c r="H58" i="1" s="1"/>
  <c r="I47" i="1"/>
  <c r="I46" i="1" s="1"/>
  <c r="H47" i="1"/>
  <c r="H46" i="1" s="1"/>
  <c r="G47" i="1"/>
  <c r="G46" i="1" s="1"/>
  <c r="G45" i="1" s="1"/>
  <c r="G44" i="1" s="1"/>
  <c r="I121" i="1" l="1"/>
  <c r="I120" i="1" s="1"/>
  <c r="H49" i="2" s="1"/>
  <c r="H121" i="1"/>
  <c r="H120" i="1" s="1"/>
  <c r="G49" i="2" s="1"/>
  <c r="H115" i="1"/>
  <c r="H114" i="1" s="1"/>
  <c r="H113" i="1" s="1"/>
  <c r="I115" i="1"/>
  <c r="I114" i="1" s="1"/>
  <c r="I113" i="1" s="1"/>
  <c r="H45" i="1"/>
  <c r="H44" i="1" s="1"/>
  <c r="I45" i="1"/>
  <c r="I44" i="1" s="1"/>
  <c r="T327" i="3"/>
  <c r="T335" i="3"/>
  <c r="G114" i="1"/>
  <c r="G113" i="1" s="1"/>
  <c r="T11" i="3"/>
  <c r="G59" i="1"/>
  <c r="G58" i="1" s="1"/>
  <c r="J125" i="1"/>
  <c r="H119" i="1" l="1"/>
  <c r="I119" i="1"/>
  <c r="H428" i="3" l="1"/>
  <c r="H427" i="3" s="1"/>
  <c r="I428" i="3"/>
  <c r="I427" i="3" s="1"/>
  <c r="G428" i="3"/>
  <c r="G427" i="3" s="1"/>
  <c r="H244" i="3"/>
  <c r="I244" i="3"/>
  <c r="G244" i="3"/>
  <c r="G154" i="3"/>
  <c r="H154" i="3"/>
  <c r="I154" i="3"/>
  <c r="H151" i="3"/>
  <c r="I151" i="3"/>
  <c r="G151" i="3"/>
  <c r="H674" i="1"/>
  <c r="I674" i="1"/>
  <c r="G674" i="1"/>
  <c r="H418" i="3" l="1"/>
  <c r="G237" i="3" l="1"/>
  <c r="G236" i="3" s="1"/>
  <c r="I236" i="3"/>
  <c r="I235" i="3" s="1"/>
  <c r="H236" i="3"/>
  <c r="H235" i="3" s="1"/>
  <c r="I635" i="1"/>
  <c r="I634" i="1" s="1"/>
  <c r="H635" i="1"/>
  <c r="H634" i="1" s="1"/>
  <c r="G635" i="1"/>
  <c r="G634" i="1" s="1"/>
  <c r="I426" i="3"/>
  <c r="H426" i="3"/>
  <c r="G426" i="3"/>
  <c r="H673" i="1"/>
  <c r="G673" i="1"/>
  <c r="I673" i="1"/>
  <c r="G98" i="3"/>
  <c r="G235" i="3" l="1"/>
  <c r="G195" i="1" l="1"/>
  <c r="G194" i="1" s="1"/>
  <c r="I195" i="1"/>
  <c r="I194" i="1" s="1"/>
  <c r="H195" i="1"/>
  <c r="H194" i="1" s="1"/>
  <c r="J323" i="3" l="1"/>
  <c r="G189" i="3"/>
  <c r="G188" i="3" s="1"/>
  <c r="H189" i="3"/>
  <c r="H188" i="3" s="1"/>
  <c r="I189" i="3"/>
  <c r="I188" i="3" s="1"/>
  <c r="G246" i="1"/>
  <c r="G245" i="1" s="1"/>
  <c r="I246" i="1"/>
  <c r="I245" i="1" s="1"/>
  <c r="H246" i="1"/>
  <c r="H245" i="1" s="1"/>
  <c r="I153" i="3"/>
  <c r="I152" i="3" s="1"/>
  <c r="H153" i="3"/>
  <c r="H152" i="3" s="1"/>
  <c r="G153" i="3"/>
  <c r="G152" i="3" s="1"/>
  <c r="I316" i="1"/>
  <c r="I315" i="1" s="1"/>
  <c r="H316" i="1"/>
  <c r="H315" i="1" s="1"/>
  <c r="G316" i="1"/>
  <c r="G315" i="1" s="1"/>
  <c r="I150" i="3"/>
  <c r="I149" i="3" s="1"/>
  <c r="H150" i="3"/>
  <c r="H149" i="3" s="1"/>
  <c r="G150" i="3"/>
  <c r="G149" i="3" s="1"/>
  <c r="I313" i="1"/>
  <c r="I312" i="1" s="1"/>
  <c r="H313" i="1"/>
  <c r="H312" i="1" s="1"/>
  <c r="G313" i="1"/>
  <c r="G312" i="1" s="1"/>
  <c r="G311" i="1" l="1"/>
  <c r="I311" i="1"/>
  <c r="H311" i="1"/>
  <c r="H243" i="3"/>
  <c r="H242" i="3" s="1"/>
  <c r="I243" i="3"/>
  <c r="I242" i="3" s="1"/>
  <c r="H53" i="1"/>
  <c r="H52" i="1" s="1"/>
  <c r="I53" i="1"/>
  <c r="I52" i="1" s="1"/>
  <c r="H101" i="3"/>
  <c r="H100" i="3" s="1"/>
  <c r="H99" i="3" s="1"/>
  <c r="I101" i="3"/>
  <c r="I100" i="3" s="1"/>
  <c r="I99" i="3" s="1"/>
  <c r="G101" i="3"/>
  <c r="G100" i="3" s="1"/>
  <c r="G99" i="3" s="1"/>
  <c r="G570" i="1"/>
  <c r="G569" i="1" s="1"/>
  <c r="I570" i="1"/>
  <c r="I569" i="1" s="1"/>
  <c r="H570" i="1"/>
  <c r="H569" i="1" s="1"/>
  <c r="G89" i="3" l="1"/>
  <c r="G88" i="3" s="1"/>
  <c r="H89" i="3"/>
  <c r="H88" i="3" s="1"/>
  <c r="I89" i="3"/>
  <c r="I88" i="3" s="1"/>
  <c r="I412" i="3"/>
  <c r="H412" i="3"/>
  <c r="I510" i="3" l="1"/>
  <c r="G412" i="3"/>
  <c r="G411" i="3" s="1"/>
  <c r="G410" i="3" s="1"/>
  <c r="I411" i="3"/>
  <c r="I410" i="3" s="1"/>
  <c r="H411" i="3"/>
  <c r="H410" i="3" s="1"/>
  <c r="G556" i="1"/>
  <c r="G555" i="1" s="1"/>
  <c r="I556" i="1"/>
  <c r="I555" i="1" s="1"/>
  <c r="H556" i="1"/>
  <c r="H555" i="1" s="1"/>
  <c r="H240" i="1" l="1"/>
  <c r="H239" i="1" s="1"/>
  <c r="I240" i="1"/>
  <c r="I239" i="1" s="1"/>
  <c r="G240" i="1"/>
  <c r="G239" i="1" s="1"/>
  <c r="G243" i="3" l="1"/>
  <c r="G242" i="3" s="1"/>
  <c r="I161" i="1" l="1"/>
  <c r="I160" i="1" s="1"/>
  <c r="H161" i="1"/>
  <c r="H160" i="1" s="1"/>
  <c r="G161" i="1"/>
  <c r="G160" i="1" s="1"/>
  <c r="H277" i="3"/>
  <c r="I277" i="3"/>
  <c r="I158" i="1" l="1"/>
  <c r="I157" i="1" s="1"/>
  <c r="I156" i="1" s="1"/>
  <c r="H158" i="1"/>
  <c r="H157" i="1" s="1"/>
  <c r="H156" i="1" s="1"/>
  <c r="G158" i="1"/>
  <c r="G157" i="1" s="1"/>
  <c r="G156" i="1" s="1"/>
  <c r="I534" i="1"/>
  <c r="I533" i="1" s="1"/>
  <c r="I532" i="1" s="1"/>
  <c r="H534" i="1"/>
  <c r="H533" i="1" s="1"/>
  <c r="H532" i="1" s="1"/>
  <c r="G534" i="1"/>
  <c r="G533" i="1" s="1"/>
  <c r="G532" i="1" s="1"/>
  <c r="T667" i="1" s="1"/>
  <c r="I417" i="3"/>
  <c r="I416" i="3" s="1"/>
  <c r="H417" i="3"/>
  <c r="H416" i="3" s="1"/>
  <c r="I590" i="1"/>
  <c r="I589" i="1" s="1"/>
  <c r="H590" i="1"/>
  <c r="H589" i="1" s="1"/>
  <c r="G590" i="1"/>
  <c r="G589" i="1" s="1"/>
  <c r="G531" i="1" l="1"/>
  <c r="G530" i="1" s="1"/>
  <c r="F25" i="2" s="1"/>
  <c r="I531" i="1"/>
  <c r="I530" i="1" s="1"/>
  <c r="H25" i="2" s="1"/>
  <c r="H531" i="1"/>
  <c r="H530" i="1" s="1"/>
  <c r="G25" i="2" s="1"/>
  <c r="G418" i="3"/>
  <c r="G417" i="3" s="1"/>
  <c r="G416" i="3" s="1"/>
  <c r="I118" i="3" l="1"/>
  <c r="H118" i="3"/>
  <c r="G118" i="3"/>
  <c r="H142" i="3"/>
  <c r="H141" i="3" s="1"/>
  <c r="H140" i="3" s="1"/>
  <c r="I142" i="3"/>
  <c r="I141" i="3" s="1"/>
  <c r="I140" i="3" s="1"/>
  <c r="G95" i="3"/>
  <c r="G121" i="3"/>
  <c r="H98" i="3"/>
  <c r="I98" i="3"/>
  <c r="H95" i="3"/>
  <c r="I95" i="3"/>
  <c r="I567" i="1"/>
  <c r="I566" i="1" s="1"/>
  <c r="H567" i="1"/>
  <c r="H566" i="1" s="1"/>
  <c r="I564" i="1"/>
  <c r="I563" i="1" s="1"/>
  <c r="H564" i="1"/>
  <c r="H563" i="1" s="1"/>
  <c r="J206" i="3"/>
  <c r="K206" i="3"/>
  <c r="L206" i="3"/>
  <c r="M206" i="3"/>
  <c r="N206" i="3"/>
  <c r="O206" i="3"/>
  <c r="H207" i="3"/>
  <c r="I207" i="3"/>
  <c r="H211" i="3"/>
  <c r="H210" i="3" s="1"/>
  <c r="I211" i="3"/>
  <c r="I210" i="3" s="1"/>
  <c r="H213" i="3"/>
  <c r="H212" i="3" s="1"/>
  <c r="I213" i="3"/>
  <c r="I212" i="3" s="1"/>
  <c r="H124" i="3"/>
  <c r="H123" i="3" s="1"/>
  <c r="H122" i="3" s="1"/>
  <c r="I124" i="3"/>
  <c r="I123" i="3" s="1"/>
  <c r="I122" i="3" s="1"/>
  <c r="H55" i="1"/>
  <c r="I55" i="1"/>
  <c r="H202" i="3"/>
  <c r="H201" i="3" s="1"/>
  <c r="I202" i="3"/>
  <c r="I201" i="3" s="1"/>
  <c r="H186" i="3"/>
  <c r="H185" i="3" s="1"/>
  <c r="I186" i="3"/>
  <c r="I185" i="3" s="1"/>
  <c r="H175" i="3"/>
  <c r="H174" i="3" s="1"/>
  <c r="I175" i="3"/>
  <c r="I174" i="3" s="1"/>
  <c r="H173" i="3"/>
  <c r="I173" i="3"/>
  <c r="H172" i="3"/>
  <c r="I172" i="3"/>
  <c r="H171" i="3"/>
  <c r="I171" i="3"/>
  <c r="J169" i="3"/>
  <c r="K169" i="3"/>
  <c r="L169" i="3"/>
  <c r="M169" i="3"/>
  <c r="N169" i="3"/>
  <c r="O169" i="3"/>
  <c r="H168" i="3"/>
  <c r="H167" i="3" s="1"/>
  <c r="H166" i="3" s="1"/>
  <c r="I168" i="3"/>
  <c r="I167" i="3" s="1"/>
  <c r="I166" i="3" s="1"/>
  <c r="H165" i="3"/>
  <c r="H164" i="3" s="1"/>
  <c r="H163" i="3" s="1"/>
  <c r="I165" i="3"/>
  <c r="I164" i="3" s="1"/>
  <c r="I163" i="3" s="1"/>
  <c r="H157" i="3"/>
  <c r="H156" i="3" s="1"/>
  <c r="H155" i="3" s="1"/>
  <c r="I157" i="3"/>
  <c r="I156" i="3" s="1"/>
  <c r="I155" i="3" s="1"/>
  <c r="H147" i="3"/>
  <c r="H146" i="3" s="1"/>
  <c r="I147" i="3"/>
  <c r="I146" i="3" s="1"/>
  <c r="G147" i="3"/>
  <c r="G146" i="3" s="1"/>
  <c r="H144" i="3"/>
  <c r="H143" i="3" s="1"/>
  <c r="I144" i="3"/>
  <c r="I143" i="3" s="1"/>
  <c r="H139" i="3"/>
  <c r="H138" i="3" s="1"/>
  <c r="H137" i="3" s="1"/>
  <c r="I139" i="3"/>
  <c r="I138" i="3" s="1"/>
  <c r="I137" i="3" s="1"/>
  <c r="H127" i="3"/>
  <c r="H126" i="3" s="1"/>
  <c r="H125" i="3" s="1"/>
  <c r="I127" i="3"/>
  <c r="I126" i="3" s="1"/>
  <c r="I125" i="3" s="1"/>
  <c r="G144" i="3"/>
  <c r="G143" i="3" s="1"/>
  <c r="I288" i="1"/>
  <c r="I287" i="1" s="1"/>
  <c r="I283" i="1" s="1"/>
  <c r="H288" i="1"/>
  <c r="H287" i="1" s="1"/>
  <c r="H283" i="1" s="1"/>
  <c r="G288" i="1"/>
  <c r="G287" i="1" s="1"/>
  <c r="G283" i="1" s="1"/>
  <c r="I225" i="1"/>
  <c r="I224" i="1" s="1"/>
  <c r="H225" i="1"/>
  <c r="H224" i="1" s="1"/>
  <c r="G225" i="1"/>
  <c r="G224" i="1" s="1"/>
  <c r="I219" i="1"/>
  <c r="I218" i="1" s="1"/>
  <c r="H219" i="1"/>
  <c r="H218" i="1" s="1"/>
  <c r="G168" i="3"/>
  <c r="I274" i="1"/>
  <c r="I273" i="1" s="1"/>
  <c r="H274" i="1"/>
  <c r="H273" i="1" s="1"/>
  <c r="G274" i="1"/>
  <c r="G273" i="1" s="1"/>
  <c r="H265" i="1"/>
  <c r="I265" i="1"/>
  <c r="G265" i="1"/>
  <c r="I185" i="1"/>
  <c r="I184" i="1" s="1"/>
  <c r="H185" i="1"/>
  <c r="H184" i="1" s="1"/>
  <c r="G185" i="1"/>
  <c r="G184" i="1" s="1"/>
  <c r="I209" i="3" l="1"/>
  <c r="I208" i="3" s="1"/>
  <c r="H209" i="3"/>
  <c r="H208" i="3" s="1"/>
  <c r="I562" i="1"/>
  <c r="H206" i="3"/>
  <c r="H205" i="3" s="1"/>
  <c r="H204" i="3" s="1"/>
  <c r="I206" i="3"/>
  <c r="I205" i="3" s="1"/>
  <c r="I204" i="3" s="1"/>
  <c r="H562" i="1"/>
  <c r="I117" i="3"/>
  <c r="I116" i="3" s="1"/>
  <c r="H121" i="3"/>
  <c r="I121" i="3"/>
  <c r="G142" i="3"/>
  <c r="G141" i="3" s="1"/>
  <c r="G140" i="3" s="1"/>
  <c r="H199" i="3"/>
  <c r="H198" i="3" s="1"/>
  <c r="H197" i="3" s="1"/>
  <c r="I199" i="3"/>
  <c r="I198" i="3" s="1"/>
  <c r="I197" i="3" s="1"/>
  <c r="G219" i="1"/>
  <c r="G218" i="1" s="1"/>
  <c r="I183" i="3"/>
  <c r="H183" i="3"/>
  <c r="H195" i="3"/>
  <c r="H194" i="3" s="1"/>
  <c r="G564" i="1"/>
  <c r="G563" i="1" s="1"/>
  <c r="G567" i="1"/>
  <c r="G566" i="1" s="1"/>
  <c r="H170" i="3"/>
  <c r="H169" i="3" s="1"/>
  <c r="I195" i="3"/>
  <c r="I194" i="3" s="1"/>
  <c r="H117" i="3"/>
  <c r="H116" i="3" s="1"/>
  <c r="I170" i="3"/>
  <c r="I169" i="3" s="1"/>
  <c r="H444" i="3"/>
  <c r="I444" i="3"/>
  <c r="H435" i="3"/>
  <c r="I435" i="3"/>
  <c r="H425" i="3"/>
  <c r="I425" i="3"/>
  <c r="H409" i="3"/>
  <c r="I409" i="3"/>
  <c r="H394" i="3"/>
  <c r="I394" i="3"/>
  <c r="I179" i="3" l="1"/>
  <c r="H179" i="3"/>
  <c r="G562" i="1"/>
  <c r="G409" i="3"/>
  <c r="H228" i="3"/>
  <c r="I228" i="3"/>
  <c r="G228" i="3"/>
  <c r="H225" i="3"/>
  <c r="I225" i="3"/>
  <c r="G225" i="3"/>
  <c r="I629" i="1"/>
  <c r="I628" i="1" s="1"/>
  <c r="H629" i="1"/>
  <c r="H628" i="1" s="1"/>
  <c r="G629" i="1"/>
  <c r="I623" i="1"/>
  <c r="I622" i="1" s="1"/>
  <c r="H623" i="1"/>
  <c r="H622" i="1" s="1"/>
  <c r="G623" i="1"/>
  <c r="G622" i="1" s="1"/>
  <c r="I581" i="1"/>
  <c r="I580" i="1" s="1"/>
  <c r="H581" i="1"/>
  <c r="H580" i="1" s="1"/>
  <c r="G581" i="1"/>
  <c r="G580" i="1" s="1"/>
  <c r="I103" i="3"/>
  <c r="I102" i="3" s="1"/>
  <c r="H103" i="3"/>
  <c r="H102" i="3" s="1"/>
  <c r="G103" i="3"/>
  <c r="G102" i="3" s="1"/>
  <c r="I560" i="1"/>
  <c r="I559" i="1" s="1"/>
  <c r="I558" i="1" s="1"/>
  <c r="H560" i="1"/>
  <c r="H559" i="1" s="1"/>
  <c r="H558" i="1" s="1"/>
  <c r="G560" i="1"/>
  <c r="G559" i="1" s="1"/>
  <c r="I553" i="1"/>
  <c r="I552" i="1" s="1"/>
  <c r="I551" i="1" s="1"/>
  <c r="H553" i="1"/>
  <c r="H552" i="1" s="1"/>
  <c r="H551" i="1" s="1"/>
  <c r="G553" i="1"/>
  <c r="G552" i="1" s="1"/>
  <c r="G551" i="1" s="1"/>
  <c r="H621" i="1" l="1"/>
  <c r="H620" i="1" s="1"/>
  <c r="I621" i="1"/>
  <c r="I620" i="1" s="1"/>
  <c r="G576" i="1"/>
  <c r="G575" i="1" s="1"/>
  <c r="F29" i="2" s="1"/>
  <c r="H576" i="1"/>
  <c r="H575" i="1" s="1"/>
  <c r="G29" i="2" s="1"/>
  <c r="I576" i="1"/>
  <c r="I575" i="1" s="1"/>
  <c r="H29" i="2" s="1"/>
  <c r="G558" i="1"/>
  <c r="G550" i="1" s="1"/>
  <c r="H550" i="1"/>
  <c r="I550" i="1"/>
  <c r="T394" i="3"/>
  <c r="T388" i="3" s="1"/>
  <c r="P221" i="3"/>
  <c r="G628" i="1"/>
  <c r="J619" i="1"/>
  <c r="G25" i="1"/>
  <c r="G24" i="1" s="1"/>
  <c r="I25" i="1"/>
  <c r="I24" i="1" s="1"/>
  <c r="H25" i="1"/>
  <c r="H24" i="1" s="1"/>
  <c r="I269" i="3"/>
  <c r="H269" i="3"/>
  <c r="I273" i="3"/>
  <c r="H273" i="3"/>
  <c r="G87" i="1"/>
  <c r="I285" i="3"/>
  <c r="I284" i="3" s="1"/>
  <c r="H285" i="3"/>
  <c r="H284" i="3" s="1"/>
  <c r="G285" i="3"/>
  <c r="G284" i="3" s="1"/>
  <c r="H283" i="3"/>
  <c r="H282" i="3" s="1"/>
  <c r="H281" i="3" s="1"/>
  <c r="I283" i="3"/>
  <c r="I282" i="3" s="1"/>
  <c r="I281" i="3" s="1"/>
  <c r="G98" i="1"/>
  <c r="G97" i="1" s="1"/>
  <c r="I98" i="1"/>
  <c r="I97" i="1" s="1"/>
  <c r="H98" i="1"/>
  <c r="H97" i="1" s="1"/>
  <c r="I95" i="1"/>
  <c r="I94" i="1" s="1"/>
  <c r="H95" i="1"/>
  <c r="H94" i="1" s="1"/>
  <c r="G95" i="1"/>
  <c r="G94" i="1" s="1"/>
  <c r="I276" i="3"/>
  <c r="I275" i="3" s="1"/>
  <c r="H276" i="3"/>
  <c r="H275" i="3" s="1"/>
  <c r="G276" i="3"/>
  <c r="G275" i="3" s="1"/>
  <c r="I31" i="1"/>
  <c r="I30" i="1" s="1"/>
  <c r="H31" i="1"/>
  <c r="H30" i="1" s="1"/>
  <c r="G31" i="1"/>
  <c r="G30" i="1" s="1"/>
  <c r="I262" i="3"/>
  <c r="I261" i="3" s="1"/>
  <c r="H262" i="3"/>
  <c r="H261" i="3" s="1"/>
  <c r="G262" i="3"/>
  <c r="G261" i="3" s="1"/>
  <c r="G529" i="3"/>
  <c r="G528" i="3" s="1"/>
  <c r="G531" i="3"/>
  <c r="G530" i="3" s="1"/>
  <c r="G621" i="1" l="1"/>
  <c r="G620" i="1" s="1"/>
  <c r="H549" i="1"/>
  <c r="I549" i="1"/>
  <c r="G549" i="1"/>
  <c r="H619" i="1"/>
  <c r="G33" i="2"/>
  <c r="I619" i="1"/>
  <c r="H33" i="2"/>
  <c r="T221" i="3"/>
  <c r="T91" i="3"/>
  <c r="I272" i="3"/>
  <c r="I271" i="3" s="1"/>
  <c r="H272" i="3"/>
  <c r="H271" i="3" s="1"/>
  <c r="I268" i="3"/>
  <c r="I267" i="3" s="1"/>
  <c r="H268" i="3"/>
  <c r="H267" i="3" s="1"/>
  <c r="I83" i="1"/>
  <c r="H87" i="1"/>
  <c r="H83" i="1"/>
  <c r="I87" i="1"/>
  <c r="H101" i="1"/>
  <c r="H100" i="1" s="1"/>
  <c r="G283" i="3"/>
  <c r="G282" i="3" s="1"/>
  <c r="G281" i="3" s="1"/>
  <c r="I101" i="1"/>
  <c r="I100" i="1" s="1"/>
  <c r="G101" i="1"/>
  <c r="G100" i="1" s="1"/>
  <c r="G273" i="3"/>
  <c r="G269" i="3"/>
  <c r="G527" i="3"/>
  <c r="G526" i="3" s="1"/>
  <c r="J338" i="3"/>
  <c r="K338" i="3"/>
  <c r="L338" i="3"/>
  <c r="M338" i="3"/>
  <c r="N338" i="3"/>
  <c r="O338" i="3"/>
  <c r="J415" i="3"/>
  <c r="J388" i="3" s="1"/>
  <c r="K415" i="3"/>
  <c r="K388" i="3" s="1"/>
  <c r="L415" i="3"/>
  <c r="L388" i="3" s="1"/>
  <c r="M415" i="3"/>
  <c r="M388" i="3" s="1"/>
  <c r="N415" i="3"/>
  <c r="N388" i="3" s="1"/>
  <c r="O415" i="3"/>
  <c r="O388" i="3" s="1"/>
  <c r="F33" i="2" l="1"/>
  <c r="G619" i="1"/>
  <c r="G272" i="3"/>
  <c r="G271" i="3" s="1"/>
  <c r="G268" i="3"/>
  <c r="G267" i="3" s="1"/>
  <c r="H21" i="3"/>
  <c r="H20" i="3" s="1"/>
  <c r="H19" i="3" s="1"/>
  <c r="G21" i="3"/>
  <c r="G20" i="3" s="1"/>
  <c r="G19" i="3" s="1"/>
  <c r="I21" i="3"/>
  <c r="I20" i="3" s="1"/>
  <c r="I19" i="3" s="1"/>
  <c r="G47" i="3" l="1"/>
  <c r="G46" i="3" s="1"/>
  <c r="H659" i="1" l="1"/>
  <c r="I370" i="1" l="1"/>
  <c r="I369" i="1" s="1"/>
  <c r="I368" i="1" s="1"/>
  <c r="I367" i="1" s="1"/>
  <c r="I366" i="1" s="1"/>
  <c r="H370" i="1"/>
  <c r="H369" i="1" s="1"/>
  <c r="H368" i="1" s="1"/>
  <c r="H367" i="1" s="1"/>
  <c r="H366" i="1" s="1"/>
  <c r="G370" i="1"/>
  <c r="G369" i="1" s="1"/>
  <c r="G368" i="1" s="1"/>
  <c r="G367" i="1" s="1"/>
  <c r="G366" i="1" l="1"/>
  <c r="H501" i="1" l="1"/>
  <c r="H500" i="1" s="1"/>
  <c r="I501" i="1"/>
  <c r="I500" i="1" s="1"/>
  <c r="G501" i="1"/>
  <c r="G500" i="1" s="1"/>
  <c r="G499" i="1" l="1"/>
  <c r="G498" i="1" s="1"/>
  <c r="I499" i="1"/>
  <c r="I498" i="1" s="1"/>
  <c r="H499" i="1"/>
  <c r="H498" i="1" s="1"/>
  <c r="H365" i="3"/>
  <c r="I365" i="3"/>
  <c r="I120" i="3"/>
  <c r="I119" i="3" s="1"/>
  <c r="H120" i="3"/>
  <c r="H119" i="3" s="1"/>
  <c r="G120" i="3"/>
  <c r="G119" i="3" s="1"/>
  <c r="H326" i="3" l="1"/>
  <c r="I326" i="3"/>
  <c r="G326" i="3" l="1"/>
  <c r="I222" i="1" l="1"/>
  <c r="H222" i="1"/>
  <c r="G222" i="1"/>
  <c r="H136" i="3" l="1"/>
  <c r="I136" i="3"/>
  <c r="I346" i="1" l="1"/>
  <c r="H346" i="1"/>
  <c r="G346" i="1"/>
  <c r="H325" i="3"/>
  <c r="H324" i="3" s="1"/>
  <c r="I325" i="3"/>
  <c r="I324" i="3" s="1"/>
  <c r="H81" i="1"/>
  <c r="H80" i="1" s="1"/>
  <c r="I81" i="1"/>
  <c r="I80" i="1" s="1"/>
  <c r="G325" i="3"/>
  <c r="G324" i="3" s="1"/>
  <c r="G81" i="1"/>
  <c r="G80" i="1" s="1"/>
  <c r="H345" i="1" l="1"/>
  <c r="G345" i="1"/>
  <c r="I345" i="1"/>
  <c r="I221" i="1"/>
  <c r="H221" i="1"/>
  <c r="G221" i="1"/>
  <c r="G277" i="1" l="1"/>
  <c r="I348" i="3" l="1"/>
  <c r="I347" i="3" s="1"/>
  <c r="H348" i="3"/>
  <c r="H347" i="3" s="1"/>
  <c r="G167" i="3" l="1"/>
  <c r="G166" i="3" s="1"/>
  <c r="G165" i="3"/>
  <c r="I109" i="1" l="1"/>
  <c r="G302" i="3"/>
  <c r="H109" i="1"/>
  <c r="G301" i="3" l="1"/>
  <c r="G300" i="3" s="1"/>
  <c r="I320" i="3"/>
  <c r="I319" i="3" s="1"/>
  <c r="I318" i="3" s="1"/>
  <c r="H320" i="3"/>
  <c r="H319" i="3" s="1"/>
  <c r="H318" i="3" s="1"/>
  <c r="G320" i="3"/>
  <c r="I18" i="3"/>
  <c r="H18" i="3"/>
  <c r="G33" i="3"/>
  <c r="H213" i="1" l="1"/>
  <c r="G426" i="1"/>
  <c r="G281" i="1"/>
  <c r="G276" i="1" s="1"/>
  <c r="H450" i="1" l="1"/>
  <c r="H449" i="1" s="1"/>
  <c r="I450" i="1"/>
  <c r="I449" i="1" s="1"/>
  <c r="G450" i="1"/>
  <c r="G449" i="1" s="1"/>
  <c r="G348" i="3" l="1"/>
  <c r="G347" i="3" s="1"/>
  <c r="H155" i="1" l="1"/>
  <c r="I155" i="1"/>
  <c r="I154" i="1" l="1"/>
  <c r="H28" i="2"/>
  <c r="H154" i="1"/>
  <c r="G28" i="2"/>
  <c r="G175" i="3"/>
  <c r="G173" i="3"/>
  <c r="G172" i="3"/>
  <c r="G171" i="3"/>
  <c r="H277" i="1"/>
  <c r="I277" i="1"/>
  <c r="H281" i="1"/>
  <c r="I281" i="1"/>
  <c r="I276" i="1" l="1"/>
  <c r="H276" i="1"/>
  <c r="G174" i="3"/>
  <c r="G170" i="3"/>
  <c r="G169" i="3" l="1"/>
  <c r="I191" i="1" l="1"/>
  <c r="I190" i="1" s="1"/>
  <c r="H191" i="1"/>
  <c r="H190" i="1" s="1"/>
  <c r="G191" i="1"/>
  <c r="G190" i="1" s="1"/>
  <c r="G319" i="3"/>
  <c r="G318" i="3" s="1"/>
  <c r="J448" i="3" l="1"/>
  <c r="I447" i="1" l="1"/>
  <c r="I446" i="1" s="1"/>
  <c r="H447" i="1"/>
  <c r="H446" i="1" s="1"/>
  <c r="H63" i="1"/>
  <c r="I63" i="1"/>
  <c r="I62" i="1" s="1"/>
  <c r="H62" i="1" l="1"/>
  <c r="G63" i="1"/>
  <c r="G62" i="1" s="1"/>
  <c r="G447" i="1"/>
  <c r="G446" i="1" s="1"/>
  <c r="G543" i="3" l="1"/>
  <c r="H543" i="3"/>
  <c r="H542" i="3" s="1"/>
  <c r="H541" i="3" s="1"/>
  <c r="H540" i="3" s="1"/>
  <c r="I543" i="3"/>
  <c r="I542" i="3" s="1"/>
  <c r="I541" i="3" s="1"/>
  <c r="I540" i="3" s="1"/>
  <c r="G542" i="3" l="1"/>
  <c r="G541" i="3" s="1"/>
  <c r="G540" i="3" s="1"/>
  <c r="G140" i="1"/>
  <c r="G316" i="3" l="1"/>
  <c r="G315" i="3" s="1"/>
  <c r="G52" i="1"/>
  <c r="G314" i="3" l="1"/>
  <c r="G313" i="3" s="1"/>
  <c r="G312" i="3" s="1"/>
  <c r="I97" i="3" l="1"/>
  <c r="I96" i="3" s="1"/>
  <c r="I94" i="3"/>
  <c r="I93" i="3" s="1"/>
  <c r="H97" i="3"/>
  <c r="H96" i="3" s="1"/>
  <c r="G97" i="3"/>
  <c r="G96" i="3" s="1"/>
  <c r="H94" i="3"/>
  <c r="H93" i="3" s="1"/>
  <c r="G94" i="3"/>
  <c r="G93" i="3" s="1"/>
  <c r="I92" i="3" l="1"/>
  <c r="I91" i="3" s="1"/>
  <c r="H92" i="3"/>
  <c r="H91" i="3" s="1"/>
  <c r="H664" i="1"/>
  <c r="H57" i="3" s="1"/>
  <c r="H56" i="3" s="1"/>
  <c r="H55" i="3" s="1"/>
  <c r="H54" i="3" s="1"/>
  <c r="I664" i="1"/>
  <c r="I663" i="1" s="1"/>
  <c r="I662" i="1" s="1"/>
  <c r="G92" i="3" l="1"/>
  <c r="G91" i="3" s="1"/>
  <c r="H663" i="1"/>
  <c r="H662" i="1" s="1"/>
  <c r="I57" i="3"/>
  <c r="I56" i="3" s="1"/>
  <c r="I55" i="3" s="1"/>
  <c r="I54" i="3" s="1"/>
  <c r="G664" i="1" l="1"/>
  <c r="J550" i="1" l="1"/>
  <c r="G57" i="3"/>
  <c r="G56" i="3" s="1"/>
  <c r="G55" i="3" s="1"/>
  <c r="G54" i="3" s="1"/>
  <c r="G663" i="1"/>
  <c r="G662" i="1" s="1"/>
  <c r="G478" i="1"/>
  <c r="H366" i="3"/>
  <c r="I366" i="3"/>
  <c r="G366" i="3"/>
  <c r="I367" i="3"/>
  <c r="H367" i="3"/>
  <c r="G367" i="3"/>
  <c r="H364" i="3"/>
  <c r="H363" i="3" s="1"/>
  <c r="I364" i="3"/>
  <c r="I363" i="3" s="1"/>
  <c r="G365" i="3"/>
  <c r="G364" i="3" s="1"/>
  <c r="G363" i="3" s="1"/>
  <c r="H86" i="3"/>
  <c r="I86" i="3"/>
  <c r="I302" i="3"/>
  <c r="H302" i="3"/>
  <c r="H467" i="3"/>
  <c r="H466" i="3" s="1"/>
  <c r="H465" i="3" s="1"/>
  <c r="H464" i="3" s="1"/>
  <c r="I467" i="3"/>
  <c r="I466" i="3" s="1"/>
  <c r="I465" i="3" s="1"/>
  <c r="I464" i="3" s="1"/>
  <c r="J423" i="3"/>
  <c r="J444" i="3"/>
  <c r="H421" i="3"/>
  <c r="H420" i="3" s="1"/>
  <c r="I421" i="3"/>
  <c r="I420" i="3" s="1"/>
  <c r="H507" i="3"/>
  <c r="I507" i="3"/>
  <c r="H505" i="3"/>
  <c r="I505" i="3"/>
  <c r="H497" i="3"/>
  <c r="I497" i="3"/>
  <c r="H495" i="3"/>
  <c r="H494" i="3" s="1"/>
  <c r="I495" i="3"/>
  <c r="I494" i="3" s="1"/>
  <c r="H473" i="3"/>
  <c r="H472" i="3" s="1"/>
  <c r="I473" i="3"/>
  <c r="I472" i="3" s="1"/>
  <c r="H471" i="3"/>
  <c r="I471" i="3"/>
  <c r="J473" i="3"/>
  <c r="J517" i="3"/>
  <c r="J535" i="3"/>
  <c r="J359" i="3"/>
  <c r="J329" i="3"/>
  <c r="J260" i="3"/>
  <c r="J164" i="3"/>
  <c r="J79" i="3"/>
  <c r="H414" i="3"/>
  <c r="H413" i="3" s="1"/>
  <c r="I414" i="3"/>
  <c r="I413" i="3" s="1"/>
  <c r="H408" i="3"/>
  <c r="H407" i="3" s="1"/>
  <c r="I408" i="3"/>
  <c r="I407" i="3" s="1"/>
  <c r="H405" i="3"/>
  <c r="H404" i="3" s="1"/>
  <c r="I405" i="3"/>
  <c r="I404" i="3" s="1"/>
  <c r="H393" i="3"/>
  <c r="H392" i="3" s="1"/>
  <c r="I393" i="3"/>
  <c r="I392" i="3" s="1"/>
  <c r="H241" i="3"/>
  <c r="I241" i="3"/>
  <c r="H311" i="3"/>
  <c r="I311" i="3"/>
  <c r="H309" i="3"/>
  <c r="H308" i="3" s="1"/>
  <c r="I309" i="3"/>
  <c r="I308" i="3" s="1"/>
  <c r="H307" i="3"/>
  <c r="I307" i="3"/>
  <c r="H305" i="3"/>
  <c r="I305" i="3"/>
  <c r="I295" i="3"/>
  <c r="I294" i="3" s="1"/>
  <c r="I293" i="3" s="1"/>
  <c r="H260" i="3"/>
  <c r="I260" i="3"/>
  <c r="H295" i="3"/>
  <c r="H294" i="3" s="1"/>
  <c r="H293" i="3" s="1"/>
  <c r="I299" i="3"/>
  <c r="H299" i="3"/>
  <c r="H342" i="3"/>
  <c r="I342" i="3"/>
  <c r="H220" i="3"/>
  <c r="I220" i="3"/>
  <c r="G124" i="3"/>
  <c r="I343" i="3"/>
  <c r="H343" i="3"/>
  <c r="H463" i="1"/>
  <c r="H462" i="1" s="1"/>
  <c r="H461" i="1" s="1"/>
  <c r="I463" i="1"/>
  <c r="I462" i="1" s="1"/>
  <c r="I461" i="1" s="1"/>
  <c r="G463" i="1"/>
  <c r="G462" i="1" s="1"/>
  <c r="G461" i="1" s="1"/>
  <c r="H496" i="1"/>
  <c r="H495" i="1" s="1"/>
  <c r="H494" i="1" s="1"/>
  <c r="H493" i="1" s="1"/>
  <c r="I496" i="1"/>
  <c r="I495" i="1" s="1"/>
  <c r="I494" i="1" s="1"/>
  <c r="I493" i="1" s="1"/>
  <c r="G496" i="1"/>
  <c r="G495" i="1" s="1"/>
  <c r="G494" i="1" s="1"/>
  <c r="G493" i="1" s="1"/>
  <c r="I33" i="3"/>
  <c r="I32" i="3" s="1"/>
  <c r="I31" i="3" s="1"/>
  <c r="H33" i="3"/>
  <c r="H32" i="3" s="1"/>
  <c r="H31" i="3" s="1"/>
  <c r="G32" i="3"/>
  <c r="G31" i="3" s="1"/>
  <c r="I453" i="1"/>
  <c r="I452" i="1" s="1"/>
  <c r="H453" i="1"/>
  <c r="H452" i="1" s="1"/>
  <c r="G453" i="1"/>
  <c r="G452" i="1" s="1"/>
  <c r="I30" i="3"/>
  <c r="I29" i="3" s="1"/>
  <c r="I28" i="3" s="1"/>
  <c r="H30" i="3"/>
  <c r="H29" i="3" s="1"/>
  <c r="H28" i="3" s="1"/>
  <c r="G157" i="3"/>
  <c r="I188" i="1"/>
  <c r="I187" i="1" s="1"/>
  <c r="H188" i="1"/>
  <c r="H187" i="1" s="1"/>
  <c r="G188" i="1"/>
  <c r="G187" i="1" s="1"/>
  <c r="I388" i="3" l="1"/>
  <c r="H362" i="3"/>
  <c r="H388" i="3"/>
  <c r="I362" i="3"/>
  <c r="G362" i="3"/>
  <c r="K483" i="3"/>
  <c r="J483" i="3"/>
  <c r="I301" i="3"/>
  <c r="I300" i="3" s="1"/>
  <c r="H301" i="3"/>
  <c r="H300" i="3" s="1"/>
  <c r="U91" i="3"/>
  <c r="J539" i="1"/>
  <c r="G155" i="1"/>
  <c r="F28" i="2" s="1"/>
  <c r="T54" i="3"/>
  <c r="G183" i="3"/>
  <c r="I531" i="3"/>
  <c r="I530" i="3" s="1"/>
  <c r="H531" i="3"/>
  <c r="H530" i="3" s="1"/>
  <c r="I529" i="3"/>
  <c r="I528" i="3" s="1"/>
  <c r="H529" i="3"/>
  <c r="H528" i="3" s="1"/>
  <c r="I525" i="3"/>
  <c r="I524" i="3" s="1"/>
  <c r="H525" i="3"/>
  <c r="H524" i="3" s="1"/>
  <c r="I523" i="3"/>
  <c r="I522" i="3" s="1"/>
  <c r="H523" i="3"/>
  <c r="H522" i="3" s="1"/>
  <c r="I515" i="3"/>
  <c r="I514" i="3" s="1"/>
  <c r="I513" i="3" s="1"/>
  <c r="I512" i="3" s="1"/>
  <c r="H515" i="3"/>
  <c r="H514" i="3" s="1"/>
  <c r="H513" i="3" s="1"/>
  <c r="H512" i="3" s="1"/>
  <c r="I731" i="1"/>
  <c r="I357" i="3"/>
  <c r="I356" i="3" s="1"/>
  <c r="H357" i="3"/>
  <c r="H356" i="3" s="1"/>
  <c r="I355" i="3"/>
  <c r="I354" i="3" s="1"/>
  <c r="H355" i="3"/>
  <c r="H354" i="3" s="1"/>
  <c r="I353" i="3"/>
  <c r="I352" i="3" s="1"/>
  <c r="H353" i="3"/>
  <c r="H352" i="3" s="1"/>
  <c r="H360" i="3"/>
  <c r="H359" i="3" s="1"/>
  <c r="H358" i="3" s="1"/>
  <c r="I384" i="3"/>
  <c r="I383" i="3" s="1"/>
  <c r="I382" i="3" s="1"/>
  <c r="I381" i="3" s="1"/>
  <c r="H384" i="3"/>
  <c r="H383" i="3" s="1"/>
  <c r="H382" i="3" s="1"/>
  <c r="H381" i="3" s="1"/>
  <c r="I537" i="3"/>
  <c r="I536" i="3" s="1"/>
  <c r="H537" i="3"/>
  <c r="H536" i="3" s="1"/>
  <c r="I539" i="3"/>
  <c r="I538" i="3" s="1"/>
  <c r="H539" i="3"/>
  <c r="H538" i="3" s="1"/>
  <c r="I53" i="3"/>
  <c r="I52" i="3" s="1"/>
  <c r="I51" i="3" s="1"/>
  <c r="H53" i="3"/>
  <c r="H52" i="3" s="1"/>
  <c r="H51" i="3" s="1"/>
  <c r="I50" i="3"/>
  <c r="I49" i="3" s="1"/>
  <c r="I48" i="3" s="1"/>
  <c r="H50" i="3"/>
  <c r="H49" i="3" s="1"/>
  <c r="H48" i="3" s="1"/>
  <c r="I45" i="3"/>
  <c r="I44" i="3" s="1"/>
  <c r="I43" i="3" s="1"/>
  <c r="H45" i="3"/>
  <c r="H44" i="3" s="1"/>
  <c r="H43" i="3" s="1"/>
  <c r="I42" i="3"/>
  <c r="I41" i="3" s="1"/>
  <c r="H42" i="3"/>
  <c r="H41" i="3" s="1"/>
  <c r="I40" i="3"/>
  <c r="I39" i="3" s="1"/>
  <c r="H40" i="3"/>
  <c r="H39" i="3" s="1"/>
  <c r="I509" i="3"/>
  <c r="I508" i="3" s="1"/>
  <c r="H510" i="3"/>
  <c r="H509" i="3" s="1"/>
  <c r="H508" i="3" s="1"/>
  <c r="I551" i="3"/>
  <c r="H551" i="3"/>
  <c r="H550" i="3" s="1"/>
  <c r="H549" i="3" s="1"/>
  <c r="H548" i="3" s="1"/>
  <c r="G164" i="3"/>
  <c r="G163" i="3" s="1"/>
  <c r="I79" i="3"/>
  <c r="I78" i="3" s="1"/>
  <c r="I77" i="3" s="1"/>
  <c r="H79" i="3"/>
  <c r="H78" i="3" s="1"/>
  <c r="H77" i="3" s="1"/>
  <c r="I247" i="3"/>
  <c r="I246" i="3" s="1"/>
  <c r="H247" i="3"/>
  <c r="H246" i="3" s="1"/>
  <c r="I82" i="3"/>
  <c r="H82" i="3"/>
  <c r="H240" i="3"/>
  <c r="H239" i="3" s="1"/>
  <c r="G241" i="3"/>
  <c r="I506" i="3"/>
  <c r="I504" i="3"/>
  <c r="I496" i="3"/>
  <c r="I493" i="3" s="1"/>
  <c r="I470" i="3"/>
  <c r="I469" i="3" s="1"/>
  <c r="I443" i="3"/>
  <c r="I442" i="3" s="1"/>
  <c r="I434" i="3"/>
  <c r="I433" i="3" s="1"/>
  <c r="I429" i="3" s="1"/>
  <c r="I424" i="3"/>
  <c r="I423" i="3" s="1"/>
  <c r="I360" i="3"/>
  <c r="I359" i="3" s="1"/>
  <c r="I358" i="3" s="1"/>
  <c r="I345" i="3"/>
  <c r="I341" i="3"/>
  <c r="I340" i="3" s="1"/>
  <c r="I339" i="3" s="1"/>
  <c r="I337" i="3"/>
  <c r="I336" i="3" s="1"/>
  <c r="I335" i="3" s="1"/>
  <c r="I329" i="3"/>
  <c r="I328" i="3" s="1"/>
  <c r="I327" i="3" s="1"/>
  <c r="I310" i="3"/>
  <c r="I306" i="3"/>
  <c r="I304" i="3"/>
  <c r="I298" i="3"/>
  <c r="I297" i="3" s="1"/>
  <c r="I259" i="3"/>
  <c r="I258" i="3" s="1"/>
  <c r="I240" i="3"/>
  <c r="I239" i="3" s="1"/>
  <c r="I227" i="3"/>
  <c r="I226" i="3" s="1"/>
  <c r="I224" i="3"/>
  <c r="I222" i="3" s="1"/>
  <c r="I219" i="3"/>
  <c r="I218" i="3" s="1"/>
  <c r="I135" i="3"/>
  <c r="I134" i="3" s="1"/>
  <c r="I109" i="3" s="1"/>
  <c r="I108" i="3" s="1"/>
  <c r="I85" i="3"/>
  <c r="I84" i="3" s="1"/>
  <c r="I83" i="3" s="1"/>
  <c r="I17" i="3"/>
  <c r="I16" i="3" s="1"/>
  <c r="I15" i="3" s="1"/>
  <c r="I13" i="3"/>
  <c r="I12" i="3" s="1"/>
  <c r="I11" i="3" s="1"/>
  <c r="H506" i="3"/>
  <c r="H504" i="3"/>
  <c r="H496" i="3"/>
  <c r="H493" i="3" s="1"/>
  <c r="H470" i="3"/>
  <c r="H469" i="3" s="1"/>
  <c r="H443" i="3"/>
  <c r="H442" i="3" s="1"/>
  <c r="H434" i="3"/>
  <c r="H433" i="3" s="1"/>
  <c r="H429" i="3" s="1"/>
  <c r="H424" i="3"/>
  <c r="H423" i="3" s="1"/>
  <c r="H345" i="3"/>
  <c r="H341" i="3"/>
  <c r="H340" i="3" s="1"/>
  <c r="H339" i="3" s="1"/>
  <c r="H337" i="3"/>
  <c r="H336" i="3" s="1"/>
  <c r="H335" i="3" s="1"/>
  <c r="H329" i="3"/>
  <c r="H328" i="3" s="1"/>
  <c r="H327" i="3" s="1"/>
  <c r="H310" i="3"/>
  <c r="H306" i="3"/>
  <c r="H304" i="3"/>
  <c r="H298" i="3"/>
  <c r="H297" i="3" s="1"/>
  <c r="H259" i="3"/>
  <c r="H258" i="3" s="1"/>
  <c r="H227" i="3"/>
  <c r="H226" i="3" s="1"/>
  <c r="H224" i="3"/>
  <c r="H222" i="3" s="1"/>
  <c r="H219" i="3"/>
  <c r="H218" i="3" s="1"/>
  <c r="H135" i="3"/>
  <c r="H134" i="3" s="1"/>
  <c r="H109" i="3" s="1"/>
  <c r="H108" i="3" s="1"/>
  <c r="H85" i="3"/>
  <c r="H84" i="3" s="1"/>
  <c r="H83" i="3" s="1"/>
  <c r="H17" i="3"/>
  <c r="H16" i="3" s="1"/>
  <c r="H15" i="3" s="1"/>
  <c r="H13" i="3"/>
  <c r="H12" i="3" s="1"/>
  <c r="H11" i="3" s="1"/>
  <c r="G528" i="1"/>
  <c r="H528" i="1"/>
  <c r="I528" i="1"/>
  <c r="I729" i="1"/>
  <c r="I715" i="1"/>
  <c r="I713" i="1"/>
  <c r="I709" i="1"/>
  <c r="I708" i="1" s="1"/>
  <c r="I707" i="1" s="1"/>
  <c r="I705" i="1"/>
  <c r="I704" i="1" s="1"/>
  <c r="I689" i="1"/>
  <c r="I688" i="1" s="1"/>
  <c r="I683" i="1"/>
  <c r="I682" i="1" s="1"/>
  <c r="I678" i="1" s="1"/>
  <c r="I671" i="1"/>
  <c r="I670" i="1" s="1"/>
  <c r="I659" i="1"/>
  <c r="I658" i="1" s="1"/>
  <c r="I657" i="1" s="1"/>
  <c r="I656" i="1" s="1"/>
  <c r="I543" i="1"/>
  <c r="I542" i="1" s="1"/>
  <c r="I541" i="1" s="1"/>
  <c r="I540" i="1" s="1"/>
  <c r="I522" i="1"/>
  <c r="I521" i="1" s="1"/>
  <c r="I520" i="1" s="1"/>
  <c r="I518" i="1"/>
  <c r="I480" i="1"/>
  <c r="I467" i="1"/>
  <c r="I466" i="1" s="1"/>
  <c r="I465" i="1" s="1"/>
  <c r="I444" i="1"/>
  <c r="I443" i="1" s="1"/>
  <c r="I442" i="1" s="1"/>
  <c r="I439" i="1"/>
  <c r="I438" i="1" s="1"/>
  <c r="I437" i="1" s="1"/>
  <c r="I436" i="1" s="1"/>
  <c r="H15" i="2" s="1"/>
  <c r="I434" i="1"/>
  <c r="I433" i="1" s="1"/>
  <c r="I429" i="1"/>
  <c r="I428" i="1" s="1"/>
  <c r="I426" i="1"/>
  <c r="I424" i="1"/>
  <c r="I406" i="1"/>
  <c r="I404" i="1"/>
  <c r="I416" i="1"/>
  <c r="I414" i="1"/>
  <c r="I398" i="1"/>
  <c r="I396" i="1"/>
  <c r="I391" i="1"/>
  <c r="I390" i="1" s="1"/>
  <c r="I389" i="1"/>
  <c r="I386" i="1"/>
  <c r="I385" i="1" s="1"/>
  <c r="I384" i="1" s="1"/>
  <c r="I377" i="1"/>
  <c r="I376" i="1" s="1"/>
  <c r="I375" i="1" s="1"/>
  <c r="I374" i="1" s="1"/>
  <c r="I373" i="1" s="1"/>
  <c r="I364" i="1"/>
  <c r="I363" i="1" s="1"/>
  <c r="I359" i="1"/>
  <c r="I357" i="1"/>
  <c r="I355" i="1"/>
  <c r="I343" i="1"/>
  <c r="I342" i="1" s="1"/>
  <c r="I340" i="1"/>
  <c r="I339" i="1" s="1"/>
  <c r="I328" i="1"/>
  <c r="I322" i="1"/>
  <c r="I320" i="1"/>
  <c r="I307" i="1"/>
  <c r="I306" i="1" s="1"/>
  <c r="I304" i="1"/>
  <c r="I303" i="1" s="1"/>
  <c r="I292" i="1"/>
  <c r="I291" i="1" s="1"/>
  <c r="I290" i="1" s="1"/>
  <c r="I271" i="1"/>
  <c r="I270" i="1" s="1"/>
  <c r="I264" i="1"/>
  <c r="I262" i="1"/>
  <c r="I261" i="1" s="1"/>
  <c r="I256" i="1"/>
  <c r="I255" i="1" s="1"/>
  <c r="I254" i="1" s="1"/>
  <c r="I252" i="1"/>
  <c r="I251" i="1" s="1"/>
  <c r="I243" i="1"/>
  <c r="I242" i="1" s="1"/>
  <c r="I228" i="1"/>
  <c r="I227" i="1" s="1"/>
  <c r="I216" i="1"/>
  <c r="I215" i="1" s="1"/>
  <c r="I213" i="1"/>
  <c r="I212" i="1" s="1"/>
  <c r="I210" i="1"/>
  <c r="I209" i="1" s="1"/>
  <c r="I198" i="1"/>
  <c r="I197" i="1" s="1"/>
  <c r="I193" i="1" s="1"/>
  <c r="I182" i="1"/>
  <c r="I181" i="1" s="1"/>
  <c r="I179" i="1"/>
  <c r="I178" i="1" s="1"/>
  <c r="I176" i="1"/>
  <c r="I175" i="1" s="1"/>
  <c r="I152" i="1"/>
  <c r="I151" i="1" s="1"/>
  <c r="I149" i="1"/>
  <c r="I148" i="1" s="1"/>
  <c r="I138" i="1"/>
  <c r="I137" i="1" s="1"/>
  <c r="I136" i="1" s="1"/>
  <c r="I135" i="1" s="1"/>
  <c r="I133" i="1"/>
  <c r="I131" i="1"/>
  <c r="I130" i="1" s="1"/>
  <c r="I111" i="1"/>
  <c r="I69" i="1"/>
  <c r="I68" i="1" s="1"/>
  <c r="I51" i="1" s="1"/>
  <c r="I42" i="1"/>
  <c r="I41" i="1" s="1"/>
  <c r="I19" i="1"/>
  <c r="I18" i="1" s="1"/>
  <c r="I17" i="1" s="1"/>
  <c r="I13" i="1"/>
  <c r="I12" i="1" s="1"/>
  <c r="I11" i="1" s="1"/>
  <c r="H729" i="1"/>
  <c r="H715" i="1"/>
  <c r="H713" i="1"/>
  <c r="H709" i="1"/>
  <c r="H708" i="1" s="1"/>
  <c r="H707" i="1" s="1"/>
  <c r="H705" i="1"/>
  <c r="H704" i="1" s="1"/>
  <c r="H689" i="1"/>
  <c r="H688" i="1" s="1"/>
  <c r="H683" i="1"/>
  <c r="H682" i="1" s="1"/>
  <c r="H678" i="1" s="1"/>
  <c r="H671" i="1"/>
  <c r="H670" i="1" s="1"/>
  <c r="H658" i="1"/>
  <c r="H657" i="1" s="1"/>
  <c r="H656" i="1" s="1"/>
  <c r="H543" i="1"/>
  <c r="H542" i="1" s="1"/>
  <c r="H541" i="1" s="1"/>
  <c r="H540" i="1" s="1"/>
  <c r="H522" i="1"/>
  <c r="H521" i="1" s="1"/>
  <c r="H520" i="1" s="1"/>
  <c r="H518" i="1"/>
  <c r="H480" i="1"/>
  <c r="H467" i="1"/>
  <c r="H466" i="1" s="1"/>
  <c r="H465" i="1" s="1"/>
  <c r="H444" i="1"/>
  <c r="H443" i="1" s="1"/>
  <c r="H442" i="1" s="1"/>
  <c r="H439" i="1"/>
  <c r="H438" i="1" s="1"/>
  <c r="H437" i="1" s="1"/>
  <c r="H436" i="1" s="1"/>
  <c r="G15" i="2" s="1"/>
  <c r="H434" i="1"/>
  <c r="H433" i="1" s="1"/>
  <c r="H429" i="1"/>
  <c r="H428" i="1" s="1"/>
  <c r="H426" i="1"/>
  <c r="H424" i="1"/>
  <c r="H406" i="1"/>
  <c r="H404" i="1"/>
  <c r="H416" i="1"/>
  <c r="H414" i="1"/>
  <c r="H398" i="1"/>
  <c r="H396" i="1"/>
  <c r="H391" i="1"/>
  <c r="H390" i="1" s="1"/>
  <c r="H389" i="1"/>
  <c r="H386" i="1"/>
  <c r="H385" i="1" s="1"/>
  <c r="H384" i="1" s="1"/>
  <c r="H377" i="1"/>
  <c r="H376" i="1" s="1"/>
  <c r="H375" i="1" s="1"/>
  <c r="H374" i="1" s="1"/>
  <c r="H373" i="1" s="1"/>
  <c r="H364" i="1"/>
  <c r="H363" i="1" s="1"/>
  <c r="H359" i="1"/>
  <c r="H357" i="1"/>
  <c r="H355" i="1"/>
  <c r="H343" i="1"/>
  <c r="H342" i="1" s="1"/>
  <c r="H340" i="1"/>
  <c r="H339" i="1" s="1"/>
  <c r="H328" i="1"/>
  <c r="H322" i="1"/>
  <c r="H320" i="1"/>
  <c r="H307" i="1"/>
  <c r="H306" i="1" s="1"/>
  <c r="H304" i="1"/>
  <c r="H303" i="1" s="1"/>
  <c r="H292" i="1"/>
  <c r="H291" i="1" s="1"/>
  <c r="H290" i="1" s="1"/>
  <c r="H271" i="1"/>
  <c r="H270" i="1" s="1"/>
  <c r="H264" i="1"/>
  <c r="H262" i="1"/>
  <c r="H261" i="1" s="1"/>
  <c r="H256" i="1"/>
  <c r="H255" i="1" s="1"/>
  <c r="H254" i="1" s="1"/>
  <c r="H252" i="1"/>
  <c r="H251" i="1" s="1"/>
  <c r="H243" i="1"/>
  <c r="H242" i="1" s="1"/>
  <c r="H228" i="1"/>
  <c r="H227" i="1" s="1"/>
  <c r="H216" i="1"/>
  <c r="H215" i="1" s="1"/>
  <c r="H212" i="1"/>
  <c r="H210" i="1"/>
  <c r="H209" i="1" s="1"/>
  <c r="H198" i="1"/>
  <c r="H197" i="1" s="1"/>
  <c r="H193" i="1" s="1"/>
  <c r="H182" i="1"/>
  <c r="H181" i="1" s="1"/>
  <c r="H179" i="1"/>
  <c r="H178" i="1" s="1"/>
  <c r="H176" i="1"/>
  <c r="H175" i="1" s="1"/>
  <c r="H152" i="1"/>
  <c r="H151" i="1" s="1"/>
  <c r="H149" i="1"/>
  <c r="H148" i="1" s="1"/>
  <c r="H138" i="1"/>
  <c r="H133" i="1"/>
  <c r="H131" i="1"/>
  <c r="H130" i="1" s="1"/>
  <c r="H111" i="1"/>
  <c r="H108" i="1" s="1"/>
  <c r="H69" i="1"/>
  <c r="H42" i="1"/>
  <c r="H41" i="1" s="1"/>
  <c r="H19" i="1"/>
  <c r="H18" i="1" s="1"/>
  <c r="H17" i="1" s="1"/>
  <c r="H13" i="1"/>
  <c r="H12" i="1" s="1"/>
  <c r="H11" i="1" s="1"/>
  <c r="G729" i="1"/>
  <c r="G220" i="3"/>
  <c r="G13" i="1"/>
  <c r="G12" i="1" s="1"/>
  <c r="G11" i="1" s="1"/>
  <c r="I208" i="1" l="1"/>
  <c r="H208" i="1"/>
  <c r="I666" i="1"/>
  <c r="I661" i="1" s="1"/>
  <c r="H666" i="1"/>
  <c r="H661" i="1" s="1"/>
  <c r="H235" i="1"/>
  <c r="H332" i="1"/>
  <c r="H331" i="1" s="1"/>
  <c r="H330" i="1" s="1"/>
  <c r="I235" i="1"/>
  <c r="I332" i="1"/>
  <c r="I331" i="1" s="1"/>
  <c r="I330" i="1" s="1"/>
  <c r="I50" i="1"/>
  <c r="H41" i="2" s="1"/>
  <c r="H221" i="3"/>
  <c r="I221" i="3"/>
  <c r="H51" i="2"/>
  <c r="H50" i="2" s="1"/>
  <c r="G51" i="2"/>
  <c r="G50" i="2" s="1"/>
  <c r="H395" i="1"/>
  <c r="H403" i="1"/>
  <c r="H402" i="1" s="1"/>
  <c r="H677" i="1"/>
  <c r="H676" i="1" s="1"/>
  <c r="I395" i="1"/>
  <c r="I403" i="1"/>
  <c r="I402" i="1" s="1"/>
  <c r="I677" i="1"/>
  <c r="I676" i="1" s="1"/>
  <c r="I419" i="3"/>
  <c r="H419" i="3"/>
  <c r="H303" i="3"/>
  <c r="I38" i="3"/>
  <c r="I34" i="3" s="1"/>
  <c r="I303" i="3"/>
  <c r="H38" i="3"/>
  <c r="H34" i="3" s="1"/>
  <c r="H413" i="1"/>
  <c r="J416" i="1" s="1"/>
  <c r="I413" i="1"/>
  <c r="H260" i="1"/>
  <c r="H259" i="1" s="1"/>
  <c r="H258" i="1" s="1"/>
  <c r="H302" i="1"/>
  <c r="H295" i="1" s="1"/>
  <c r="H294" i="1" s="1"/>
  <c r="I362" i="1"/>
  <c r="I361" i="1" s="1"/>
  <c r="H362" i="1"/>
  <c r="H361" i="1" s="1"/>
  <c r="I319" i="1"/>
  <c r="H319" i="1"/>
  <c r="I260" i="1"/>
  <c r="I259" i="1" s="1"/>
  <c r="I258" i="1" s="1"/>
  <c r="I302" i="1"/>
  <c r="I295" i="1" s="1"/>
  <c r="I294" i="1" s="1"/>
  <c r="I174" i="1"/>
  <c r="I173" i="1" s="1"/>
  <c r="I172" i="1" s="1"/>
  <c r="H174" i="1"/>
  <c r="H173" i="1" s="1"/>
  <c r="H172" i="1" s="1"/>
  <c r="H147" i="1"/>
  <c r="I147" i="1"/>
  <c r="I108" i="1"/>
  <c r="I107" i="1" s="1"/>
  <c r="I106" i="1" s="1"/>
  <c r="H68" i="1"/>
  <c r="H51" i="1" s="1"/>
  <c r="H107" i="1"/>
  <c r="H106" i="1" s="1"/>
  <c r="I383" i="1"/>
  <c r="H383" i="1"/>
  <c r="U54" i="3"/>
  <c r="G154" i="1"/>
  <c r="G21" i="2"/>
  <c r="H21" i="2"/>
  <c r="I245" i="3"/>
  <c r="H245" i="3"/>
  <c r="H238" i="3" s="1"/>
  <c r="H703" i="1"/>
  <c r="I703" i="1"/>
  <c r="I728" i="1"/>
  <c r="I727" i="1" s="1"/>
  <c r="I80" i="3"/>
  <c r="I76" i="3" s="1"/>
  <c r="I81" i="3"/>
  <c r="H80" i="3"/>
  <c r="H76" i="3" s="1"/>
  <c r="H81" i="3"/>
  <c r="H432" i="1"/>
  <c r="H431" i="1" s="1"/>
  <c r="I432" i="1"/>
  <c r="I431" i="1" s="1"/>
  <c r="H13" i="2" s="1"/>
  <c r="H137" i="1"/>
  <c r="H136" i="1" s="1"/>
  <c r="H135" i="1" s="1"/>
  <c r="I527" i="1"/>
  <c r="I526" i="1" s="1"/>
  <c r="I525" i="1" s="1"/>
  <c r="H527" i="1"/>
  <c r="H526" i="1" s="1"/>
  <c r="H525" i="1" s="1"/>
  <c r="H517" i="1"/>
  <c r="H516" i="1" s="1"/>
  <c r="H515" i="1" s="1"/>
  <c r="I517" i="1"/>
  <c r="I10" i="1"/>
  <c r="H10" i="1"/>
  <c r="I527" i="3"/>
  <c r="I526" i="3" s="1"/>
  <c r="H527" i="3"/>
  <c r="H526" i="3" s="1"/>
  <c r="I351" i="3"/>
  <c r="I350" i="3" s="1"/>
  <c r="I349" i="3" s="1"/>
  <c r="H351" i="3"/>
  <c r="H350" i="3" s="1"/>
  <c r="H349" i="3" s="1"/>
  <c r="I712" i="1"/>
  <c r="I711" i="1" s="1"/>
  <c r="H728" i="1"/>
  <c r="H727" i="1" s="1"/>
  <c r="H712" i="1"/>
  <c r="H711" i="1" s="1"/>
  <c r="H535" i="3"/>
  <c r="H534" i="3" s="1"/>
  <c r="H478" i="1"/>
  <c r="I535" i="3"/>
  <c r="I534" i="3" s="1"/>
  <c r="I478" i="1"/>
  <c r="H354" i="1"/>
  <c r="H353" i="1" s="1"/>
  <c r="H352" i="1" s="1"/>
  <c r="I354" i="1"/>
  <c r="I353" i="1" s="1"/>
  <c r="I352" i="1" s="1"/>
  <c r="H167" i="1"/>
  <c r="H166" i="1" s="1"/>
  <c r="I344" i="3"/>
  <c r="I167" i="1"/>
  <c r="I166" i="1" s="1"/>
  <c r="H344" i="3"/>
  <c r="I521" i="3"/>
  <c r="I520" i="3" s="1"/>
  <c r="H521" i="3"/>
  <c r="H520" i="3" s="1"/>
  <c r="H372" i="1"/>
  <c r="I372" i="1"/>
  <c r="I550" i="3"/>
  <c r="I549" i="3" s="1"/>
  <c r="I548" i="3" s="1"/>
  <c r="H327" i="1"/>
  <c r="H326" i="1" s="1"/>
  <c r="H325" i="1" s="1"/>
  <c r="I327" i="1"/>
  <c r="I326" i="1" s="1"/>
  <c r="I325" i="1" s="1"/>
  <c r="I519" i="3"/>
  <c r="I518" i="3" s="1"/>
  <c r="I517" i="3" s="1"/>
  <c r="I516" i="3" s="1"/>
  <c r="H519" i="3"/>
  <c r="H518" i="3" s="1"/>
  <c r="H517" i="3" s="1"/>
  <c r="H516" i="3" s="1"/>
  <c r="I129" i="1"/>
  <c r="I128" i="1" s="1"/>
  <c r="H129" i="1"/>
  <c r="H128" i="1" s="1"/>
  <c r="H503" i="3"/>
  <c r="H468" i="3" s="1"/>
  <c r="I503" i="3"/>
  <c r="I468" i="3" s="1"/>
  <c r="H423" i="1"/>
  <c r="J409" i="1" s="1"/>
  <c r="I423" i="1"/>
  <c r="K409" i="1" s="1"/>
  <c r="I39" i="1"/>
  <c r="I16" i="1" s="1"/>
  <c r="I40" i="1"/>
  <c r="H39" i="1"/>
  <c r="H40" i="1"/>
  <c r="G406" i="1"/>
  <c r="G404" i="1"/>
  <c r="G13" i="3"/>
  <c r="G12" i="3" s="1"/>
  <c r="G11" i="3" s="1"/>
  <c r="G240" i="3"/>
  <c r="G239" i="3" s="1"/>
  <c r="G69" i="1"/>
  <c r="G68" i="1" s="1"/>
  <c r="G51" i="1" s="1"/>
  <c r="H655" i="1" l="1"/>
  <c r="I655" i="1"/>
  <c r="I238" i="3"/>
  <c r="I9" i="3" s="1"/>
  <c r="I324" i="1"/>
  <c r="H9" i="3"/>
  <c r="I49" i="1"/>
  <c r="H50" i="1"/>
  <c r="I394" i="1"/>
  <c r="I393" i="1" s="1"/>
  <c r="I388" i="1" s="1"/>
  <c r="H524" i="1"/>
  <c r="G403" i="1"/>
  <c r="G402" i="1" s="1"/>
  <c r="H394" i="1"/>
  <c r="H393" i="1" s="1"/>
  <c r="H388" i="1" s="1"/>
  <c r="I207" i="1"/>
  <c r="G44" i="2"/>
  <c r="H324" i="1"/>
  <c r="H207" i="1"/>
  <c r="H511" i="3"/>
  <c r="I524" i="1"/>
  <c r="H44" i="2"/>
  <c r="H38" i="2"/>
  <c r="G38" i="2"/>
  <c r="I511" i="3"/>
  <c r="I165" i="1"/>
  <c r="H165" i="1"/>
  <c r="G22" i="2"/>
  <c r="I15" i="1"/>
  <c r="H37" i="2"/>
  <c r="H725" i="1"/>
  <c r="H733" i="1" s="1"/>
  <c r="I725" i="1"/>
  <c r="I733" i="1" s="1"/>
  <c r="I477" i="1"/>
  <c r="I476" i="1" s="1"/>
  <c r="I516" i="1"/>
  <c r="I515" i="1" s="1"/>
  <c r="H22" i="2" s="1"/>
  <c r="H477" i="1"/>
  <c r="H476" i="1" s="1"/>
  <c r="H382" i="1"/>
  <c r="I382" i="1"/>
  <c r="G50" i="1"/>
  <c r="F41" i="2" s="1"/>
  <c r="H16" i="1"/>
  <c r="G45" i="2"/>
  <c r="H45" i="2"/>
  <c r="G13" i="2"/>
  <c r="K416" i="1"/>
  <c r="G46" i="2"/>
  <c r="I702" i="1"/>
  <c r="I701" i="1" s="1"/>
  <c r="H11" i="2" s="1"/>
  <c r="G10" i="1"/>
  <c r="T218" i="3"/>
  <c r="H46" i="2"/>
  <c r="J404" i="1"/>
  <c r="K404" i="1"/>
  <c r="K424" i="1"/>
  <c r="K405" i="1"/>
  <c r="J405" i="1"/>
  <c r="J424" i="1"/>
  <c r="H702" i="1"/>
  <c r="H701" i="1" s="1"/>
  <c r="G11" i="2" s="1"/>
  <c r="I318" i="1"/>
  <c r="I310" i="1" s="1"/>
  <c r="H318" i="1"/>
  <c r="H310" i="1" s="1"/>
  <c r="H127" i="1"/>
  <c r="G24" i="2"/>
  <c r="H24" i="2"/>
  <c r="I351" i="1"/>
  <c r="H351" i="1"/>
  <c r="I533" i="3"/>
  <c r="I532" i="3" s="1"/>
  <c r="H533" i="3"/>
  <c r="H532" i="3" s="1"/>
  <c r="G167" i="1"/>
  <c r="G166" i="1" s="1"/>
  <c r="G165" i="1" s="1"/>
  <c r="G20" i="2"/>
  <c r="I127" i="1"/>
  <c r="G42" i="2"/>
  <c r="G35" i="2"/>
  <c r="H42" i="2"/>
  <c r="H146" i="1"/>
  <c r="H145" i="1" s="1"/>
  <c r="H17" i="2"/>
  <c r="G17" i="2"/>
  <c r="H9" i="1"/>
  <c r="I9" i="1"/>
  <c r="H20" i="2"/>
  <c r="H35" i="2"/>
  <c r="I146" i="1"/>
  <c r="I145" i="1" s="1"/>
  <c r="G202" i="3"/>
  <c r="G201" i="3" s="1"/>
  <c r="G307" i="1"/>
  <c r="G306" i="1" s="1"/>
  <c r="G357" i="3"/>
  <c r="G356" i="3" s="1"/>
  <c r="G359" i="1"/>
  <c r="G543" i="1"/>
  <c r="G542" i="1" s="1"/>
  <c r="G541" i="1" s="1"/>
  <c r="G540" i="1" s="1"/>
  <c r="H49" i="1" l="1"/>
  <c r="G41" i="2"/>
  <c r="G40" i="2" s="1"/>
  <c r="I206" i="1"/>
  <c r="P206" i="1" s="1"/>
  <c r="H206" i="1"/>
  <c r="O206" i="1" s="1"/>
  <c r="G19" i="2"/>
  <c r="G14" i="2"/>
  <c r="H10" i="2"/>
  <c r="I474" i="1"/>
  <c r="I473" i="1" s="1"/>
  <c r="I472" i="1" s="1"/>
  <c r="G10" i="2"/>
  <c r="H474" i="1"/>
  <c r="H473" i="1" s="1"/>
  <c r="H472" i="1" s="1"/>
  <c r="H14" i="2"/>
  <c r="H463" i="3"/>
  <c r="H462" i="3" s="1"/>
  <c r="J478" i="3"/>
  <c r="I463" i="3"/>
  <c r="I462" i="3" s="1"/>
  <c r="K478" i="3"/>
  <c r="H12" i="2"/>
  <c r="G12" i="2"/>
  <c r="H19" i="2"/>
  <c r="H36" i="2"/>
  <c r="G36" i="2"/>
  <c r="H26" i="2"/>
  <c r="H23" i="2" s="1"/>
  <c r="G26" i="2"/>
  <c r="G23" i="2" s="1"/>
  <c r="H15" i="1"/>
  <c r="G37" i="2"/>
  <c r="I492" i="1"/>
  <c r="I350" i="1"/>
  <c r="I379" i="1" s="1"/>
  <c r="H350" i="1"/>
  <c r="H379" i="1" s="1"/>
  <c r="H163" i="1"/>
  <c r="I163" i="1"/>
  <c r="I125" i="1"/>
  <c r="H492" i="1"/>
  <c r="I700" i="1"/>
  <c r="I723" i="1" s="1"/>
  <c r="H700" i="1"/>
  <c r="H723" i="1" s="1"/>
  <c r="H309" i="1"/>
  <c r="I309" i="1"/>
  <c r="G32" i="2"/>
  <c r="H32" i="2"/>
  <c r="J360" i="3"/>
  <c r="H40" i="2"/>
  <c r="H27" i="2"/>
  <c r="G27" i="2"/>
  <c r="G47" i="2"/>
  <c r="H47" i="2"/>
  <c r="G43" i="2"/>
  <c r="H43" i="2"/>
  <c r="G186" i="3"/>
  <c r="G185" i="3" s="1"/>
  <c r="H441" i="1" l="1"/>
  <c r="H381" i="1" s="1"/>
  <c r="H698" i="1" s="1"/>
  <c r="I441" i="1"/>
  <c r="I381" i="1" s="1"/>
  <c r="I698" i="1" s="1"/>
  <c r="H171" i="1"/>
  <c r="H348" i="1" s="1"/>
  <c r="I171" i="1"/>
  <c r="I348" i="1" s="1"/>
  <c r="H125" i="1"/>
  <c r="G16" i="2"/>
  <c r="G9" i="2" s="1"/>
  <c r="G39" i="2"/>
  <c r="H39" i="2"/>
  <c r="H16" i="2" l="1"/>
  <c r="H9" i="2" s="1"/>
  <c r="G42" i="1"/>
  <c r="G41" i="1" s="1"/>
  <c r="J51" i="1" s="1"/>
  <c r="J50" i="1" s="1"/>
  <c r="G82" i="3"/>
  <c r="G311" i="3"/>
  <c r="G310" i="3" s="1"/>
  <c r="G34" i="2" l="1"/>
  <c r="H34" i="2"/>
  <c r="G80" i="3"/>
  <c r="G81" i="3"/>
  <c r="G40" i="1"/>
  <c r="G39" i="1" s="1"/>
  <c r="G497" i="3" l="1"/>
  <c r="G496" i="3" s="1"/>
  <c r="G495" i="3"/>
  <c r="G494" i="3" s="1"/>
  <c r="G507" i="3"/>
  <c r="G506" i="3" s="1"/>
  <c r="G505" i="3"/>
  <c r="G504" i="3" s="1"/>
  <c r="G424" i="1"/>
  <c r="G423" i="1" s="1"/>
  <c r="G228" i="1"/>
  <c r="G30" i="3"/>
  <c r="G29" i="3" s="1"/>
  <c r="G28" i="3" s="1"/>
  <c r="G416" i="1"/>
  <c r="G414" i="1"/>
  <c r="G539" i="3"/>
  <c r="G538" i="3" s="1"/>
  <c r="G413" i="1" l="1"/>
  <c r="G493" i="3"/>
  <c r="G227" i="1"/>
  <c r="G503" i="3"/>
  <c r="G363" i="1"/>
  <c r="G362" i="1" s="1"/>
  <c r="G198" i="1"/>
  <c r="G197" i="1" s="1"/>
  <c r="G193" i="1" s="1"/>
  <c r="G18" i="3"/>
  <c r="G361" i="1" l="1"/>
  <c r="G17" i="3"/>
  <c r="G16" i="3" s="1"/>
  <c r="G15" i="3" s="1"/>
  <c r="G444" i="1"/>
  <c r="G443" i="1" l="1"/>
  <c r="G442" i="1" s="1"/>
  <c r="G224" i="3"/>
  <c r="G227" i="3"/>
  <c r="T15" i="3" l="1"/>
  <c r="G226" i="3"/>
  <c r="G222" i="3"/>
  <c r="G19" i="1"/>
  <c r="G18" i="1" s="1"/>
  <c r="G211" i="3"/>
  <c r="G353" i="3"/>
  <c r="G352" i="3" s="1"/>
  <c r="G467" i="3"/>
  <c r="G466" i="3" s="1"/>
  <c r="G465" i="3" s="1"/>
  <c r="G464" i="3" s="1"/>
  <c r="G471" i="3"/>
  <c r="G470" i="3" s="1"/>
  <c r="G473" i="3"/>
  <c r="G472" i="3" s="1"/>
  <c r="G510" i="3"/>
  <c r="G509" i="3" s="1"/>
  <c r="G508" i="3" s="1"/>
  <c r="G515" i="3"/>
  <c r="G514" i="3" s="1"/>
  <c r="G513" i="3" s="1"/>
  <c r="G512" i="3" s="1"/>
  <c r="G519" i="3"/>
  <c r="G518" i="3" s="1"/>
  <c r="G517" i="3" s="1"/>
  <c r="G516" i="3" s="1"/>
  <c r="G523" i="3"/>
  <c r="G522" i="3" s="1"/>
  <c r="G525" i="3"/>
  <c r="G524" i="3" s="1"/>
  <c r="G535" i="3"/>
  <c r="G534" i="3" s="1"/>
  <c r="G537" i="3"/>
  <c r="G536" i="3" s="1"/>
  <c r="G551" i="3"/>
  <c r="G86" i="3"/>
  <c r="G40" i="3"/>
  <c r="G39" i="3" s="1"/>
  <c r="G42" i="3"/>
  <c r="G41" i="3" s="1"/>
  <c r="G45" i="3"/>
  <c r="G44" i="3" s="1"/>
  <c r="G43" i="3" s="1"/>
  <c r="G50" i="3"/>
  <c r="G49" i="3" s="1"/>
  <c r="G53" i="3"/>
  <c r="G52" i="3" s="1"/>
  <c r="G51" i="3" s="1"/>
  <c r="G79" i="3"/>
  <c r="G78" i="3" s="1"/>
  <c r="G77" i="3" s="1"/>
  <c r="G76" i="3" s="1"/>
  <c r="G136" i="3"/>
  <c r="G139" i="3"/>
  <c r="G138" i="3" s="1"/>
  <c r="G137" i="3" s="1"/>
  <c r="G156" i="3"/>
  <c r="G155" i="3" s="1"/>
  <c r="G195" i="3"/>
  <c r="G194" i="3" s="1"/>
  <c r="G179" i="3" s="1"/>
  <c r="G292" i="1"/>
  <c r="G291" i="1" s="1"/>
  <c r="G290" i="1" s="1"/>
  <c r="G213" i="3"/>
  <c r="G212" i="3" s="1"/>
  <c r="G199" i="3"/>
  <c r="G198" i="3" s="1"/>
  <c r="G197" i="3" s="1"/>
  <c r="G219" i="3"/>
  <c r="G218" i="3" s="1"/>
  <c r="G247" i="3"/>
  <c r="G246" i="3" s="1"/>
  <c r="G260" i="3"/>
  <c r="G259" i="3" s="1"/>
  <c r="G258" i="3" s="1"/>
  <c r="G295" i="3"/>
  <c r="G299" i="3"/>
  <c r="G298" i="3" s="1"/>
  <c r="G297" i="3" s="1"/>
  <c r="G305" i="3"/>
  <c r="G304" i="3" s="1"/>
  <c r="G309" i="3"/>
  <c r="G308" i="3" s="1"/>
  <c r="G111" i="1"/>
  <c r="G108" i="1" s="1"/>
  <c r="G329" i="3"/>
  <c r="G328" i="3" s="1"/>
  <c r="G327" i="3" s="1"/>
  <c r="G337" i="3"/>
  <c r="G336" i="3" s="1"/>
  <c r="G335" i="3" s="1"/>
  <c r="G342" i="3"/>
  <c r="G355" i="3"/>
  <c r="G354" i="3" s="1"/>
  <c r="G393" i="3"/>
  <c r="G392" i="3" s="1"/>
  <c r="G405" i="3"/>
  <c r="G404" i="3" s="1"/>
  <c r="G408" i="3"/>
  <c r="G407" i="3" s="1"/>
  <c r="G414" i="3"/>
  <c r="G413" i="3" s="1"/>
  <c r="G421" i="3"/>
  <c r="G420" i="3" s="1"/>
  <c r="G425" i="3"/>
  <c r="G424" i="3" s="1"/>
  <c r="G423" i="3" s="1"/>
  <c r="G444" i="3"/>
  <c r="G443" i="3" s="1"/>
  <c r="G442" i="3" s="1"/>
  <c r="G435" i="3"/>
  <c r="G434" i="3" s="1"/>
  <c r="G433" i="3" s="1"/>
  <c r="G429" i="3" s="1"/>
  <c r="T430" i="3" s="1"/>
  <c r="G384" i="3"/>
  <c r="G383" i="3" s="1"/>
  <c r="G382" i="3" s="1"/>
  <c r="G381" i="3" s="1"/>
  <c r="G264" i="1"/>
  <c r="G262" i="1"/>
  <c r="G261" i="1" s="1"/>
  <c r="G216" i="1"/>
  <c r="G215" i="1" s="1"/>
  <c r="G256" i="1"/>
  <c r="G255" i="1" s="1"/>
  <c r="G254" i="1" s="1"/>
  <c r="G243" i="1"/>
  <c r="G242" i="1" s="1"/>
  <c r="G252" i="1"/>
  <c r="G176" i="1"/>
  <c r="G175" i="1" s="1"/>
  <c r="G179" i="1"/>
  <c r="G178" i="1" s="1"/>
  <c r="G480" i="1"/>
  <c r="G477" i="1" s="1"/>
  <c r="G149" i="1"/>
  <c r="G148" i="1" s="1"/>
  <c r="G152" i="1"/>
  <c r="G151" i="1" s="1"/>
  <c r="G518" i="1"/>
  <c r="G517" i="1" s="1"/>
  <c r="G522" i="1"/>
  <c r="G521" i="1" s="1"/>
  <c r="G396" i="1"/>
  <c r="G398" i="1"/>
  <c r="G355" i="1"/>
  <c r="G357" i="1"/>
  <c r="G377" i="1"/>
  <c r="G376" i="1" s="1"/>
  <c r="G375" i="1" s="1"/>
  <c r="G374" i="1" s="1"/>
  <c r="G373" i="1" s="1"/>
  <c r="F51" i="2" s="1"/>
  <c r="G434" i="1"/>
  <c r="G433" i="1" s="1"/>
  <c r="G670" i="1"/>
  <c r="G689" i="1"/>
  <c r="G688" i="1" s="1"/>
  <c r="G386" i="1"/>
  <c r="G429" i="1"/>
  <c r="G428" i="1" s="1"/>
  <c r="G389" i="1"/>
  <c r="G439" i="1"/>
  <c r="G438" i="1" s="1"/>
  <c r="G437" i="1" s="1"/>
  <c r="G436" i="1" s="1"/>
  <c r="F15" i="2" s="1"/>
  <c r="G467" i="1"/>
  <c r="G466" i="1" s="1"/>
  <c r="G465" i="1" s="1"/>
  <c r="G527" i="1"/>
  <c r="G526" i="1" s="1"/>
  <c r="G525" i="1" s="1"/>
  <c r="G131" i="1"/>
  <c r="G130" i="1" s="1"/>
  <c r="G133" i="1"/>
  <c r="G138" i="1"/>
  <c r="G137" i="1" s="1"/>
  <c r="G136" i="1" s="1"/>
  <c r="G135" i="1" s="1"/>
  <c r="G304" i="1"/>
  <c r="G303" i="1" s="1"/>
  <c r="G302" i="1" s="1"/>
  <c r="G295" i="1" s="1"/>
  <c r="G320" i="1"/>
  <c r="G322" i="1"/>
  <c r="G328" i="1"/>
  <c r="G327" i="1" s="1"/>
  <c r="G326" i="1" s="1"/>
  <c r="G343" i="1"/>
  <c r="G340" i="1"/>
  <c r="G339" i="1" s="1"/>
  <c r="G705" i="1"/>
  <c r="G704" i="1" s="1"/>
  <c r="G709" i="1"/>
  <c r="G708" i="1" s="1"/>
  <c r="G707" i="1" s="1"/>
  <c r="G713" i="1"/>
  <c r="G715" i="1"/>
  <c r="G731" i="1"/>
  <c r="G728" i="1" s="1"/>
  <c r="G727" i="1" s="1"/>
  <c r="G725" i="1" s="1"/>
  <c r="G391" i="1"/>
  <c r="G390" i="1" s="1"/>
  <c r="G307" i="3"/>
  <c r="G306" i="3" s="1"/>
  <c r="G659" i="1"/>
  <c r="G210" i="1"/>
  <c r="G209" i="1" s="1"/>
  <c r="G271" i="1"/>
  <c r="G270" i="1" s="1"/>
  <c r="G17" i="1" l="1"/>
  <c r="G16" i="1" s="1"/>
  <c r="G15" i="1" s="1"/>
  <c r="V109" i="3"/>
  <c r="G666" i="1"/>
  <c r="G661" i="1" s="1"/>
  <c r="G385" i="1"/>
  <c r="G384" i="1" s="1"/>
  <c r="G383" i="1" s="1"/>
  <c r="G382" i="1" s="1"/>
  <c r="G474" i="1" s="1"/>
  <c r="G473" i="1" s="1"/>
  <c r="G472" i="1" s="1"/>
  <c r="G221" i="3"/>
  <c r="G388" i="3"/>
  <c r="G395" i="1"/>
  <c r="G394" i="1" s="1"/>
  <c r="G393" i="1" s="1"/>
  <c r="G388" i="1" s="1"/>
  <c r="G419" i="3"/>
  <c r="G342" i="1"/>
  <c r="G469" i="3"/>
  <c r="G294" i="1"/>
  <c r="F38" i="2" s="1"/>
  <c r="G38" i="3"/>
  <c r="G303" i="3"/>
  <c r="G516" i="1"/>
  <c r="G319" i="1"/>
  <c r="G260" i="1"/>
  <c r="G259" i="1" s="1"/>
  <c r="G258" i="1" s="1"/>
  <c r="G147" i="1"/>
  <c r="G372" i="1"/>
  <c r="F50" i="2"/>
  <c r="G658" i="1"/>
  <c r="G657" i="1" s="1"/>
  <c r="G656" i="1" s="1"/>
  <c r="T83" i="3"/>
  <c r="G325" i="1"/>
  <c r="G520" i="1"/>
  <c r="T343" i="3"/>
  <c r="G484" i="1"/>
  <c r="G48" i="3"/>
  <c r="G107" i="1"/>
  <c r="G106" i="1" s="1"/>
  <c r="G49" i="1" s="1"/>
  <c r="G245" i="3"/>
  <c r="G294" i="3"/>
  <c r="G293" i="3" s="1"/>
  <c r="G703" i="1"/>
  <c r="G432" i="1"/>
  <c r="G431" i="1" s="1"/>
  <c r="F13" i="2" s="1"/>
  <c r="G251" i="1"/>
  <c r="G235" i="1" s="1"/>
  <c r="G354" i="1"/>
  <c r="G353" i="1" s="1"/>
  <c r="G360" i="3"/>
  <c r="G359" i="3" s="1"/>
  <c r="G358" i="3" s="1"/>
  <c r="G351" i="3"/>
  <c r="G350" i="3" s="1"/>
  <c r="G712" i="1"/>
  <c r="G711" i="1" s="1"/>
  <c r="G521" i="3"/>
  <c r="G520" i="3" s="1"/>
  <c r="G511" i="3" s="1"/>
  <c r="G533" i="3"/>
  <c r="G135" i="3"/>
  <c r="G134" i="3" s="1"/>
  <c r="G117" i="3"/>
  <c r="G116" i="3" s="1"/>
  <c r="G85" i="3"/>
  <c r="G84" i="3" s="1"/>
  <c r="G83" i="3" s="1"/>
  <c r="G524" i="1"/>
  <c r="G210" i="3"/>
  <c r="G209" i="3" s="1"/>
  <c r="G208" i="3" s="1"/>
  <c r="G550" i="3"/>
  <c r="G549" i="3" s="1"/>
  <c r="G548" i="3" s="1"/>
  <c r="G345" i="3"/>
  <c r="G123" i="3"/>
  <c r="G122" i="3" s="1"/>
  <c r="G207" i="3"/>
  <c r="G341" i="3"/>
  <c r="G340" i="3" s="1"/>
  <c r="G339" i="3" s="1"/>
  <c r="G129" i="1"/>
  <c r="G128" i="1" s="1"/>
  <c r="G213" i="1"/>
  <c r="G212" i="1" s="1"/>
  <c r="G208" i="1" s="1"/>
  <c r="G182" i="1"/>
  <c r="G181" i="1" s="1"/>
  <c r="G174" i="1" s="1"/>
  <c r="G683" i="1"/>
  <c r="G682" i="1" s="1"/>
  <c r="G678" i="1" s="1"/>
  <c r="G476" i="1"/>
  <c r="F37" i="2" l="1"/>
  <c r="G441" i="1"/>
  <c r="G238" i="3"/>
  <c r="G332" i="1"/>
  <c r="G331" i="1" s="1"/>
  <c r="G330" i="1" s="1"/>
  <c r="G324" i="1" s="1"/>
  <c r="G207" i="1"/>
  <c r="G206" i="1" s="1"/>
  <c r="F16" i="2"/>
  <c r="G468" i="3"/>
  <c r="G463" i="3" s="1"/>
  <c r="G677" i="1"/>
  <c r="G676" i="1" s="1"/>
  <c r="G655" i="1" s="1"/>
  <c r="F44" i="2"/>
  <c r="G34" i="3"/>
  <c r="G349" i="3"/>
  <c r="G515" i="1"/>
  <c r="G492" i="1" s="1"/>
  <c r="T339" i="3"/>
  <c r="I50" i="2"/>
  <c r="G352" i="1"/>
  <c r="T349" i="3" s="1"/>
  <c r="T381" i="3"/>
  <c r="G206" i="3"/>
  <c r="G205" i="3" s="1"/>
  <c r="G204" i="3" s="1"/>
  <c r="T419" i="3"/>
  <c r="T420" i="3" s="1"/>
  <c r="T76" i="3"/>
  <c r="U76" i="3" s="1"/>
  <c r="T238" i="3"/>
  <c r="T34" i="3"/>
  <c r="F10" i="2"/>
  <c r="F17" i="2"/>
  <c r="G733" i="1"/>
  <c r="G702" i="1"/>
  <c r="G701" i="1" s="1"/>
  <c r="G700" i="1" s="1"/>
  <c r="G723" i="1" s="1"/>
  <c r="G318" i="1"/>
  <c r="G310" i="1" s="1"/>
  <c r="G173" i="1"/>
  <c r="G532" i="3"/>
  <c r="L559" i="3"/>
  <c r="F45" i="2"/>
  <c r="G126" i="3"/>
  <c r="G125" i="3" s="1"/>
  <c r="G109" i="3" s="1"/>
  <c r="K239" i="3"/>
  <c r="G344" i="3"/>
  <c r="G127" i="1"/>
  <c r="G146" i="1"/>
  <c r="G381" i="1"/>
  <c r="G698" i="1" s="1"/>
  <c r="V112" i="3" l="1"/>
  <c r="F36" i="2"/>
  <c r="G462" i="3"/>
  <c r="F12" i="2"/>
  <c r="G145" i="1"/>
  <c r="G163" i="1" s="1"/>
  <c r="F26" i="2"/>
  <c r="F22" i="2"/>
  <c r="G351" i="1"/>
  <c r="G350" i="1" s="1"/>
  <c r="G379" i="1" s="1"/>
  <c r="T472" i="1" s="1"/>
  <c r="T473" i="1" s="1"/>
  <c r="G172" i="1"/>
  <c r="F35" i="2" s="1"/>
  <c r="L34" i="3"/>
  <c r="U34" i="3"/>
  <c r="T239" i="3"/>
  <c r="I32" i="2"/>
  <c r="F46" i="2"/>
  <c r="F11" i="2"/>
  <c r="G309" i="1"/>
  <c r="G343" i="3"/>
  <c r="U343" i="3" s="1"/>
  <c r="I47" i="2"/>
  <c r="F42" i="2"/>
  <c r="F20" i="2"/>
  <c r="G108" i="3" l="1"/>
  <c r="G9" i="3" s="1"/>
  <c r="G171" i="1"/>
  <c r="G348" i="1" s="1"/>
  <c r="I40" i="2"/>
  <c r="F39" i="2"/>
  <c r="I19" i="2"/>
  <c r="F14" i="2"/>
  <c r="F9" i="2" s="1"/>
  <c r="F27" i="2"/>
  <c r="I43" i="2"/>
  <c r="F21" i="2"/>
  <c r="F19" i="2" s="1"/>
  <c r="F43" i="2"/>
  <c r="F40" i="2"/>
  <c r="G9" i="1"/>
  <c r="G120" i="1" l="1"/>
  <c r="F49" i="2" s="1"/>
  <c r="J698" i="1"/>
  <c r="F24" i="2"/>
  <c r="F23" i="2" s="1"/>
  <c r="F34" i="2"/>
  <c r="I27" i="2"/>
  <c r="I34" i="2"/>
  <c r="I9" i="2"/>
  <c r="G119" i="1" l="1"/>
  <c r="G125" i="1" s="1"/>
  <c r="G735" i="1" s="1"/>
  <c r="G741" i="1" s="1"/>
  <c r="F47" i="2"/>
  <c r="I23" i="2"/>
  <c r="F32" i="2"/>
  <c r="F53" i="2" l="1"/>
  <c r="G742" i="1" l="1"/>
  <c r="F80" i="2"/>
  <c r="F74" i="2"/>
  <c r="F55" i="2"/>
  <c r="G737" i="1"/>
  <c r="G559" i="3" l="1"/>
  <c r="G743" i="1" l="1"/>
  <c r="F75" i="2"/>
  <c r="H53" i="2" l="1"/>
  <c r="I558" i="3"/>
  <c r="I559" i="3" s="1"/>
  <c r="I735" i="1"/>
  <c r="G53" i="2"/>
  <c r="H558" i="3"/>
  <c r="H559" i="3" s="1"/>
  <c r="H735" i="1"/>
  <c r="I741" i="1" l="1"/>
  <c r="I737" i="1"/>
  <c r="H75" i="2"/>
  <c r="H80" i="2"/>
  <c r="H74" i="2"/>
  <c r="H55" i="2"/>
  <c r="H741" i="1"/>
  <c r="H737" i="1"/>
  <c r="G80" i="2"/>
  <c r="G74" i="2"/>
  <c r="G55" i="2"/>
  <c r="G75" i="2"/>
  <c r="I742" i="1" l="1"/>
  <c r="I743" i="1"/>
  <c r="H743" i="1"/>
  <c r="H742" i="1"/>
</calcChain>
</file>

<file path=xl/sharedStrings.xml><?xml version="1.0" encoding="utf-8"?>
<sst xmlns="http://schemas.openxmlformats.org/spreadsheetml/2006/main" count="5925" uniqueCount="557">
  <si>
    <t>ОХРАНА ОКРУЖАЮЩЕЙ СРЕДЫ</t>
  </si>
  <si>
    <t>630</t>
  </si>
  <si>
    <t>Субсидии некоммерческим организациям (за исключением государственных (муниципальных) учреждений)</t>
  </si>
  <si>
    <t>Наименование</t>
  </si>
  <si>
    <t>Глава</t>
  </si>
  <si>
    <t>Раздел</t>
  </si>
  <si>
    <t>Подраздел</t>
  </si>
  <si>
    <t>Целевая статья</t>
  </si>
  <si>
    <t>Вид расходов</t>
  </si>
  <si>
    <t>ОБЩЕГОСУДАРСТВЕННЫЕ ВОПРОСЫ</t>
  </si>
  <si>
    <t>01</t>
  </si>
  <si>
    <t>21 0 00 80060</t>
  </si>
  <si>
    <t>мероприятие - обслуживание установленной в здании администрации и гараже системы автоматической пожарной сигнализации и системы оповещения людей о пожаре</t>
  </si>
  <si>
    <t>Другие общегосударственные вопросы</t>
  </si>
  <si>
    <t>13</t>
  </si>
  <si>
    <t>Подпрограмма "Создание условий для развития одаренных детей"</t>
  </si>
  <si>
    <t>ОБРАЗОВАНИЕ</t>
  </si>
  <si>
    <t>07</t>
  </si>
  <si>
    <t>Общее образование</t>
  </si>
  <si>
    <t>02</t>
  </si>
  <si>
    <t xml:space="preserve">Расходы на обеспечение деятельности учреждений по внешкольной работе с детьми 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</si>
  <si>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</si>
  <si>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</si>
  <si>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</si>
  <si>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</si>
  <si>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</si>
  <si>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</si>
  <si>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</si>
  <si>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</si>
  <si>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КУЛЬТУРА И КИНЕМАТОГРАФИЯ </t>
  </si>
  <si>
    <t>08</t>
  </si>
  <si>
    <t>Культура</t>
  </si>
  <si>
    <t>Обеспечение населения услугами учреждений культуры</t>
  </si>
  <si>
    <t xml:space="preserve">Организация музейного  обслуживания </t>
  </si>
  <si>
    <t xml:space="preserve">Организация библиотечного обслуживания </t>
  </si>
  <si>
    <t>Расходы на обеспечение деятельности подведомственных учреждений</t>
  </si>
  <si>
    <t>757</t>
  </si>
  <si>
    <t>Другие вопросы в области культуры, кинематографии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</si>
  <si>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</si>
  <si>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</si>
  <si>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</si>
  <si>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</si>
  <si>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</si>
  <si>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</si>
  <si>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</si>
  <si>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 , сборов и иных платежей</t>
  </si>
  <si>
    <t>850</t>
  </si>
  <si>
    <t>Социальное обеспечение населения</t>
  </si>
  <si>
    <t>10</t>
  </si>
  <si>
    <t>03</t>
  </si>
  <si>
    <t>Массовый спорт</t>
  </si>
  <si>
    <t>11</t>
  </si>
  <si>
    <t xml:space="preserve">мероприятие - "Создание условий для укрепления здоровья населения" </t>
  </si>
  <si>
    <t>ИТОГО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</si>
  <si>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</si>
  <si>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содержание муниципальных органов и обеспечение их функций</t>
  </si>
  <si>
    <t xml:space="preserve">Организация ритуальных услуг
</t>
  </si>
  <si>
    <t xml:space="preserve">Содержание кладбищ </t>
  </si>
  <si>
    <t>22 0 00 83170</t>
  </si>
  <si>
    <t>22 0 00 83180</t>
  </si>
  <si>
    <t>22 0 00 83190</t>
  </si>
  <si>
    <t>Мероприятия в области жилищного хозяйства</t>
  </si>
  <si>
    <t>НАЦИОНАЛЬНАЯ ЭКОНОМИКА</t>
  </si>
  <si>
    <t>Другие вопросы в области национальной экономики</t>
  </si>
  <si>
    <t>12</t>
  </si>
  <si>
    <t>Дошкольное образование</t>
  </si>
  <si>
    <t>Расходы на обеспечение деятельности детских дошкольных учреждений</t>
  </si>
  <si>
    <t>774</t>
  </si>
  <si>
    <t>Дополнительное образование детей</t>
  </si>
  <si>
    <t>Капитальные вложения в объекты государственной (муниципальной) собственности</t>
  </si>
  <si>
    <t>Непрограммные расходы в сфере общегосударственных вопросов</t>
  </si>
  <si>
    <t>06 1 00 00000</t>
  </si>
  <si>
    <t>1. Муниципальные программы</t>
  </si>
  <si>
    <t>01 0 0 00000</t>
  </si>
  <si>
    <t>2. Непрограммные направления деятельности</t>
  </si>
  <si>
    <t>Расходы на обеспечение деятельности подведомственных учреждений (Школы - детские сады, школы начальные, неполные средние и средние</t>
  </si>
  <si>
    <t>Подпрограмма "Отдых детей в каникулярный период"</t>
  </si>
  <si>
    <t>Финансовая поддержка социально-ориентированных некоммерческих организаций</t>
  </si>
  <si>
    <t>Другие вопросы в области образования</t>
  </si>
  <si>
    <t>09</t>
  </si>
  <si>
    <t>Выявление детей с ограниченными возможностями здоровья и проведение их комплексного обследования</t>
  </si>
  <si>
    <t>Подпрограмма "Отдых детей в каникулярный период" Мероприятия по оздоровлению детей и подростков, трудоустройство подростков,акарицидная обработка территорий оздоровительных лагерей с дневным пребыванием детей и др. за счет местного бюджета</t>
  </si>
  <si>
    <t>09 0 00 00000</t>
  </si>
  <si>
    <t>Уплата налогов, сборов и иных платежей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</si>
  <si>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</si>
  <si>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</si>
  <si>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</si>
  <si>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</si>
  <si>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</si>
  <si>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</si>
  <si>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</si>
  <si>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Обеспечение деятельности финансовых, налоговых и таможенных органов и органов финансового (финансово- бюджетного) надзора</t>
  </si>
  <si>
    <t>06</t>
  </si>
  <si>
    <t>Непрограммные расходы в сфере других общегосударственных вопросах</t>
  </si>
  <si>
    <t>НАЦИОНАЛЬНАЯ ОБОРОНА</t>
  </si>
  <si>
    <t xml:space="preserve">Мобилизационная и вневойсковая подготовка </t>
  </si>
  <si>
    <t>НАЦИОНАЛЬНАЯ БЕЗОПАСНОСТЬ И ПРАВООХРАНИТЕЛЬНАЯ ДЕЯТЕЛЬНОСТЬ</t>
  </si>
  <si>
    <t>Дорожное хозяйство</t>
  </si>
  <si>
    <t>05</t>
  </si>
  <si>
    <t>Жилищное хозяйство</t>
  </si>
  <si>
    <t>Коммунальное хозяйство</t>
  </si>
  <si>
    <t>Резервные средства</t>
  </si>
  <si>
    <t>870</t>
  </si>
  <si>
    <t>Благоустройство</t>
  </si>
  <si>
    <t>12 0 00 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</si>
  <si>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</si>
  <si>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по обеспечению жильем молодых семей</t>
  </si>
  <si>
    <t>Реализация муниципальных программ поддержки социально ориентированных некоммерческих организаций</t>
  </si>
  <si>
    <t>08 0 00 00000</t>
  </si>
  <si>
    <t>08 3 00 00000</t>
  </si>
  <si>
    <t>08 3 00 88320</t>
  </si>
  <si>
    <t>12 0 00 00000</t>
  </si>
  <si>
    <t>12 0  00 85040</t>
  </si>
  <si>
    <t>13 0 00 00000</t>
  </si>
  <si>
    <t>15 0 00 00000</t>
  </si>
  <si>
    <t>15 0 00 88860</t>
  </si>
  <si>
    <t>12 0 00 85010</t>
  </si>
  <si>
    <t>12 0 00 85020</t>
  </si>
  <si>
    <t>12 0 00 85030</t>
  </si>
  <si>
    <t>10 0 00 00000</t>
  </si>
  <si>
    <t>10 0 00 88850</t>
  </si>
  <si>
    <t>12 0 00 80010</t>
  </si>
  <si>
    <t>01 0 00 00000</t>
  </si>
  <si>
    <t>13 0 00 85410</t>
  </si>
  <si>
    <t>03 0 00 00000</t>
  </si>
  <si>
    <t>03 0 00 80010</t>
  </si>
  <si>
    <t>03 0 00 80620</t>
  </si>
  <si>
    <t>96 0 00 00000</t>
  </si>
  <si>
    <t>96 0 00 81110</t>
  </si>
  <si>
    <t>03 0 00 82690</t>
  </si>
  <si>
    <t>03 0 00 82700</t>
  </si>
  <si>
    <t>07 0 00 00000</t>
  </si>
  <si>
    <t>08 1 00 00000</t>
  </si>
  <si>
    <t>08 1 00 80120</t>
  </si>
  <si>
    <t>08 2 00 00000</t>
  </si>
  <si>
    <t>08 2 00 80190</t>
  </si>
  <si>
    <t>08 1 00 80130</t>
  </si>
  <si>
    <t>08 1 00 80140</t>
  </si>
  <si>
    <t>08 4 00 00000</t>
  </si>
  <si>
    <t>08 4 00 80150</t>
  </si>
  <si>
    <t>08 1 00 80180</t>
  </si>
  <si>
    <t>08 5 00 00000</t>
  </si>
  <si>
    <t>08 5 00 80010</t>
  </si>
  <si>
    <t>19 0 00 00000</t>
  </si>
  <si>
    <t>19 1 00 00000</t>
  </si>
  <si>
    <t>19 1 00 80010</t>
  </si>
  <si>
    <t>87 0 00 00000</t>
  </si>
  <si>
    <t>06 0 00 00000</t>
  </si>
  <si>
    <t>19 2 00 00000</t>
  </si>
  <si>
    <t>19 2 00 81750</t>
  </si>
  <si>
    <t>81 0 00 00000</t>
  </si>
  <si>
    <t>81 1 00 00000</t>
  </si>
  <si>
    <t>81 1 00 80010</t>
  </si>
  <si>
    <t>05 0 00 00000</t>
  </si>
  <si>
    <t>81 2 00 00000</t>
  </si>
  <si>
    <t>81 2 00 80010</t>
  </si>
  <si>
    <t>02 0 00 00000</t>
  </si>
  <si>
    <t>02 0 00 81180</t>
  </si>
  <si>
    <t>21 0 00 00000</t>
  </si>
  <si>
    <t>84 0 00 00000</t>
  </si>
  <si>
    <t>20 0 00 00000</t>
  </si>
  <si>
    <t>16 0 00 00000</t>
  </si>
  <si>
    <t>16 0 00 88890</t>
  </si>
  <si>
    <t>18 0 00 00000</t>
  </si>
  <si>
    <t>18 0 00 88870</t>
  </si>
  <si>
    <t>14 0 00 00000</t>
  </si>
  <si>
    <t>14 0 00 88440</t>
  </si>
  <si>
    <t>11 0 00 00000</t>
  </si>
  <si>
    <t>04 0 00 00000</t>
  </si>
  <si>
    <t>82 0 00 00000</t>
  </si>
  <si>
    <t>82 1 00 00000</t>
  </si>
  <si>
    <t>82 1 00 80010</t>
  </si>
  <si>
    <t>82 2 00 00000</t>
  </si>
  <si>
    <t>82 2 00 80010</t>
  </si>
  <si>
    <t>82 3 00 00000</t>
  </si>
  <si>
    <t>82 3 00 80010</t>
  </si>
  <si>
    <t>87 0 00 81400</t>
  </si>
  <si>
    <t>Судебная система</t>
  </si>
  <si>
    <t>Непрограммные расходы в сфере судебной системы</t>
  </si>
  <si>
    <t>97 0 00 00000</t>
  </si>
  <si>
    <t xml:space="preserve">Молодежная политика </t>
  </si>
  <si>
    <t>23 0 00 00000</t>
  </si>
  <si>
    <t>23 0 00 87050</t>
  </si>
  <si>
    <t>23 0 00 87350</t>
  </si>
  <si>
    <t>84 0 00 80100</t>
  </si>
  <si>
    <t>08 2 00 80220</t>
  </si>
  <si>
    <t>Создание условий, отвечающих требованиям пожарной безопасности</t>
  </si>
  <si>
    <t>22 0 00 00000</t>
  </si>
  <si>
    <t>22 0 00 83150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</si>
  <si>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</si>
  <si>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</si>
  <si>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</si>
  <si>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</si>
  <si>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</si>
  <si>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</si>
  <si>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</si>
  <si>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14</t>
  </si>
  <si>
    <t>Функционирование высшего должностного лица субъекта РФ и муниципального образования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</si>
  <si>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</si>
  <si>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Закупка товаров, работ и услуг для муниципальных нужд</t>
  </si>
  <si>
    <t>110</t>
  </si>
  <si>
    <t>Расходы на выплаты персоналу казенных учреждений</t>
  </si>
  <si>
    <t>830</t>
  </si>
  <si>
    <t>Исполнение судебных актов</t>
  </si>
  <si>
    <t>Резервные фонды</t>
  </si>
  <si>
    <t>Обеспечение функционирования эксплуатационного управления</t>
  </si>
  <si>
    <t>Возмещение расходов по исполнительному листу</t>
  </si>
  <si>
    <t>Другие вопросы в области национальной безопасности и правоохранительной деятельности</t>
  </si>
  <si>
    <t>Мероприятия по повышению эффективности системы профилактики, безнадзорности и правонарушений несовершеннолетних</t>
  </si>
  <si>
    <t>Проведение районных мероприятий для молодежи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</si>
  <si>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</si>
  <si>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</si>
  <si>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Транспорт</t>
  </si>
  <si>
    <t>ЖИЛИЩНО-КОММУНАЛЬНОЙ ХОЗЯЙСТВО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</si>
  <si>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</si>
  <si>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</si>
  <si>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</si>
  <si>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</si>
  <si>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Мероприятия по оздоровлению детей и подростков, трудоустройство подростков,акарицидная обработка территорий оздоровительных лагерей с дневным пребыванием детей и др. за счет местного бюджета</t>
  </si>
  <si>
    <t>Другие вопросы в области охраны окружающей среды</t>
  </si>
  <si>
    <t xml:space="preserve">Социальное обеспечение и иные выплаты населению
</t>
  </si>
  <si>
    <t>Публичные нормативные социальные выплаты гражданам</t>
  </si>
  <si>
    <t>310</t>
  </si>
  <si>
    <t>Социальные выплаты в части исполнения публичных нормативных обязательств</t>
  </si>
  <si>
    <t xml:space="preserve">Социальное обеспечение и иные выплаты населению </t>
  </si>
  <si>
    <t>Выплаты приемным семьям на оздоровление и организацию отдыха приемных детей</t>
  </si>
  <si>
    <t>ФИЗИЧЕСКАЯ КУЛЬТУРА И 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</si>
  <si>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</si>
  <si>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</t>
  </si>
  <si>
    <t>Обеспечение функционирования представительного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</si>
  <si>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</si>
  <si>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</t>
  </si>
  <si>
    <t>Сумма, рублей</t>
  </si>
  <si>
    <t>11 0 00 88911</t>
  </si>
  <si>
    <t xml:space="preserve">07 0 00 88282 </t>
  </si>
  <si>
    <t>Мероприятия в области благоустройства</t>
  </si>
  <si>
    <t>02 0 00 S8410</t>
  </si>
  <si>
    <t>02 0 00 S8420</t>
  </si>
  <si>
    <t>12 0 00 88240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</si>
  <si>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 за счет средств местного бюджета</t>
  </si>
  <si>
    <t>08 0  00 00000</t>
  </si>
  <si>
    <t>12 0 00 S6820</t>
  </si>
  <si>
    <t>01 0 00 L4970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</si>
  <si>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</si>
  <si>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</si>
  <si>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</si>
  <si>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1 00 S8330</t>
  </si>
  <si>
    <t>08 2 00 86840</t>
  </si>
  <si>
    <t>Публикации в СМИ информационных материалов</t>
  </si>
  <si>
    <t>02 0 00 81150</t>
  </si>
  <si>
    <t>Проведение ежегодных аттестационных мероприятий по режимному кабинету и защищаемому помещению</t>
  </si>
  <si>
    <t>20 0 00 81522</t>
  </si>
  <si>
    <t>25 0 00 88887</t>
  </si>
  <si>
    <t>Закупка товаров, работ и услуг для обеспечения государственных (муниципальных) нужд</t>
  </si>
  <si>
    <t>Мероприятия по формированию законопослушного поведения участников дорожного движения</t>
  </si>
  <si>
    <t>25 0 00 00000</t>
  </si>
  <si>
    <t>АКЦИЗЫ</t>
  </si>
  <si>
    <t>78000</t>
  </si>
  <si>
    <t>Выполнение работ по уборке несанкционированных свалок и навалов мусора</t>
  </si>
  <si>
    <t>390000</t>
  </si>
  <si>
    <t>189200</t>
  </si>
  <si>
    <t>270072</t>
  </si>
  <si>
    <t>Физическая культура</t>
  </si>
  <si>
    <t>20 0 00 81511</t>
  </si>
  <si>
    <t>Мероприятия по предупреждению преступлений, терроризма, экстремизма и других правонарушений, выполнение мероприятий в сфере мобилизации и мобилизационной подготовки в рамках территориальной обороны</t>
  </si>
  <si>
    <t>07 0 F3 67483</t>
  </si>
  <si>
    <t>07 0 F3 67484</t>
  </si>
  <si>
    <t>12 0 00 88289</t>
  </si>
  <si>
    <t>12 00 88290</t>
  </si>
  <si>
    <t>12 0 00 88290</t>
  </si>
  <si>
    <t>Создание мест (площадок) накопления (в том числе раздельного накопления) твердых коммунальных отходов</t>
  </si>
  <si>
    <t>Другие вопросы в области жилищно-коммунального хозяйства</t>
  </si>
  <si>
    <t>Инженерные изыскания, разработку  проектно-сметной документации и экспертизы для привязки проекта строительства Дома культуры в с.Бестужево</t>
  </si>
  <si>
    <t>Инженерные изыскания, разработку проектно-сметной документации и экспертизы для привязки проекта  строительства Нагорского дома культуры</t>
  </si>
  <si>
    <t xml:space="preserve">Закупка товаров, работ и услуг для муниципальных нужд </t>
  </si>
  <si>
    <t>620</t>
  </si>
  <si>
    <t>Субсидии автономным учреждениям</t>
  </si>
  <si>
    <t>Обеспечение функционирования модели персонифицированного финансирования дополнительного образования детей</t>
  </si>
  <si>
    <t>мероприятие - Организация учета, управления и распоряжения муниципальным имуществом</t>
  </si>
  <si>
    <t>08 1 03 80170</t>
  </si>
  <si>
    <t>Пособия, компенсации и иные социальные выплаты Почетным гражданам</t>
  </si>
  <si>
    <t>Обеспечение нормативных условий хранения архивных документов</t>
  </si>
  <si>
    <t>12 0 00 S8240</t>
  </si>
  <si>
    <t>08 1 00 S8240</t>
  </si>
  <si>
    <t>330</t>
  </si>
  <si>
    <t xml:space="preserve">Публичные нормативные выплаты гражданам не социального характера </t>
  </si>
  <si>
    <t>26 0 00 00000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</si>
  <si>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</si>
  <si>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23 0 00 87460</t>
  </si>
  <si>
    <t>08 1 00 L3042</t>
  </si>
  <si>
    <t>Разработка проектно-сметной документации мест захоронения</t>
  </si>
  <si>
    <t xml:space="preserve">Мероприятия по подготовке к отопительному периоду </t>
  </si>
  <si>
    <t>12 0 00 88869</t>
  </si>
  <si>
    <t>08 1 00 S6560</t>
  </si>
  <si>
    <t>792</t>
  </si>
  <si>
    <t>Мероприятия в сфере предупреждения и ликвидации последствий чрезвычайных ситуаций и стихийных бедствий природного и  техногенного характера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</si>
  <si>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</si>
  <si>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</si>
  <si>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Реализация мер по обеспечению безопасности граждан и антитеррористической защищенности объектов образовательных организаций</t>
  </si>
  <si>
    <t>мероприятие - Организация учета, управления и распоряжения муниципальным имуществом и содержание казны</t>
  </si>
  <si>
    <t>текст</t>
  </si>
  <si>
    <t>793</t>
  </si>
  <si>
    <t>83 0 00 00000</t>
  </si>
  <si>
    <t>83 0 00 80010</t>
  </si>
  <si>
    <t>12 0  00 85043</t>
  </si>
  <si>
    <t>Оплата проезда к месту отдыха и обратно</t>
  </si>
  <si>
    <t>12 0  00 85045</t>
  </si>
  <si>
    <t>Услуги проведения специальной оценки условий труда, производственного контроля и оценки проф. рисков на рабочих местах</t>
  </si>
  <si>
    <t>12 0  00 85046</t>
  </si>
  <si>
    <t>12 0  00 85048</t>
  </si>
  <si>
    <t>12 0  00 85049</t>
  </si>
  <si>
    <t>Взносы в Фонд капитального ремонта формируемый на специальном счете УК</t>
  </si>
  <si>
    <t>12 0  00 85050</t>
  </si>
  <si>
    <t>08 1 00 85043</t>
  </si>
  <si>
    <t>08 1 00 80145</t>
  </si>
  <si>
    <t>Субсидия на организацию бесплатного двухразового питания обучающихся с ограниченными возможностями здоровья в образовательных учреждениях</t>
  </si>
  <si>
    <t>08 1 00 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</si>
  <si>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</si>
  <si>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Субсидия на организацию бесплатного питания детей с ограниченными возможностями здоровья, сирот и инвалидов в дошкольных образовательных организациях</t>
  </si>
  <si>
    <t>08 1 00 80146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</si>
  <si>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</si>
  <si>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Содержание, ремонт, капитальный ремонт систем водоснабжения и водоотведения</t>
  </si>
  <si>
    <t>22 0 00 88341</t>
  </si>
  <si>
    <t>06 1 00 83092</t>
  </si>
  <si>
    <t>Приложение № 6</t>
  </si>
  <si>
    <t>12 0 00 L5198</t>
  </si>
  <si>
    <t>04 0 00  L5760</t>
  </si>
  <si>
    <t>08 1 00 80151</t>
  </si>
  <si>
    <t>22 0 00 83181</t>
  </si>
  <si>
    <t>Мероприятия в целях проведения текущего ремонта жилого фонда</t>
  </si>
  <si>
    <t>Мероприятия в целях проведения  капитального ремонта жилого фонда</t>
  </si>
  <si>
    <t>Участие в мероприятиях направленных на повышение престижа профессии педагог</t>
  </si>
  <si>
    <t>07 0 F3 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</si>
  <si>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строительств, за счет средств местного бюджета</t>
  </si>
  <si>
    <t>08 2 00 82192</t>
  </si>
  <si>
    <t>Текущий ремонт образовательных учреждений за счет средств местного бюджета</t>
  </si>
  <si>
    <t>Капитальный ремонт образовательных учреждений  за счет средств местного бюджета</t>
  </si>
  <si>
    <t xml:space="preserve">Проведение экспертизы проектно-сметной документации объектов капитального ремонта  
</t>
  </si>
  <si>
    <t xml:space="preserve">Проведение экспертизы проектно-сметной документации объектов капитального ремонта
</t>
  </si>
  <si>
    <t xml:space="preserve">Капитальный ремонт образовательных учреждений  за счет средств местного бюджета  </t>
  </si>
  <si>
    <t>23 0 00 87462</t>
  </si>
  <si>
    <t>Организация транспортного обслуживания населения на пассажирских муниципальных маршрутах автомобильного транспорта</t>
  </si>
  <si>
    <t>11 0 00 88913</t>
  </si>
  <si>
    <t>Мероприятия по содержанию контейнерных площадок и мест накопления ТКО</t>
  </si>
  <si>
    <t>12 0  00 85057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</si>
  <si>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</si>
  <si>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360</t>
  </si>
  <si>
    <t>Иные выплаты населению</t>
  </si>
  <si>
    <t xml:space="preserve">Муниципальная программа "Благоустройство территории Устьянского муниципального округа" </t>
  </si>
  <si>
    <t>26 0 00 83200</t>
  </si>
  <si>
    <t>22 0 00 83157</t>
  </si>
  <si>
    <t>22 0 00 87158</t>
  </si>
  <si>
    <t>99 0 00 00000</t>
  </si>
  <si>
    <t>Непрограммные расходы в сфере национальной обороны</t>
  </si>
  <si>
    <t>2025 год</t>
  </si>
  <si>
    <t>Муниципальная программа "Ремонт и пожарная безопасность недвижимого имущества Устьянского муниципального округа</t>
  </si>
  <si>
    <t>Муниципальная программа "Комплексное развитие Устьянского муниципального округа и государственная  поддержка социально-ориентированных некоммерческих организаций"</t>
  </si>
  <si>
    <t>Муниципальная программа "Обеспечение жильем молодых семей Устьянского муниципального округа"</t>
  </si>
  <si>
    <t>Муниципальная программа "Управление муниципальным имуществом Устьянского муниципального округа"</t>
  </si>
  <si>
    <t>Муниципальная программа "Комплексное развитие сельских территорий Устьянского муниципального округа"</t>
  </si>
  <si>
    <t>Муниципальная программа "Развитие АПК и торговли Устьянского муниципального округа"</t>
  </si>
  <si>
    <t>Муниципальная программа "Развитие транспортной системы Устьянского муниципального округа"</t>
  </si>
  <si>
    <t>Муниципальная программа "Развитие образования Устьянского муниципального округа"</t>
  </si>
  <si>
    <t xml:space="preserve">Муниципальная программа «Развитие туризма на территории Устьянского муниципального округа" </t>
  </si>
  <si>
    <t>Муниципальная программа "Безопасное обращение с отходами производства и потребления на территории Устьянского муниципального округа"</t>
  </si>
  <si>
    <t>Муниципальная программа "Развитие культуры Устьянского муниципального округа"</t>
  </si>
  <si>
    <t xml:space="preserve">Муниципальная программа «Развитие физкультуры и спорта на территории Устьянского муниципального округа» </t>
  </si>
  <si>
    <t>Муниципальная программа "Развитие малого и среднего предпринимательства на территории Устьянского муниципального округа"</t>
  </si>
  <si>
    <t xml:space="preserve">Муниципальная программа «Молодежь Устьянского муниципального округа"  </t>
  </si>
  <si>
    <t>Муниципальная программа "Профилактика преступлений, терроризма, экстремизма и иных правонарушений на территории Устьянского муниципального округа"</t>
  </si>
  <si>
    <t>Муниципальная программа "Профилактика безнадзорности и правонарушений несовершеннолетних на территории Устьянского муниципального округа"</t>
  </si>
  <si>
    <t>Муниципальная программа "Управление муниципальными финансами и муниципальным долгом Устьянского муниципального округа"</t>
  </si>
  <si>
    <t>Муниципальная программа "Обеспечение мероприятий в области гражданской обороны, защиты населения и территории Устьянского муниципального округа от чрезвычайных ситуаций, обеспечения пожарной безопасности и безопасности на водных объектах"</t>
  </si>
  <si>
    <t xml:space="preserve">Муниципальная программа "Комплексное развитие систем коммунальной инфраструктуры на территории Устьянского муниципального округа" </t>
  </si>
  <si>
    <t>Муниципальная программа "Социальная поддержка граждан Устьянского муниципального округа"</t>
  </si>
  <si>
    <t>Муниципальная программа  "Развитие АПК и торговли Устьянского муниципального округа"</t>
  </si>
  <si>
    <t>07 0 00 83156</t>
  </si>
  <si>
    <t>Условно утвержденные расходы</t>
  </si>
  <si>
    <t>26 0 00 83160</t>
  </si>
  <si>
    <t>26 0 00 83165</t>
  </si>
  <si>
    <t>26 0 00 83166</t>
  </si>
  <si>
    <t>Содержание, капитальный ремонт, ремонт и обустройство автомобильных дорог общего пользования местного значения, включая обеспечение безопасности дорожного движения на них, в границах муниципального округа</t>
  </si>
  <si>
    <t>Подпрограмма "Управление муниципальным долгом Устьянского муниципального округа"</t>
  </si>
  <si>
    <t>Подпрограмма "Организация и обеспечение бюджетного процесса и развитие информационных систем управления финансами в Устьянском муниципальном округе"</t>
  </si>
  <si>
    <t>выделить сумму на персонифициров финансирование</t>
  </si>
  <si>
    <t>КБК 08 1 03 78620</t>
  </si>
  <si>
    <t>Подпрограмма "Развитие дошкольного, общего и дополнительного образования Устьянского муниципального округа"</t>
  </si>
  <si>
    <t>20 0 00 81541</t>
  </si>
  <si>
    <t>Первичные меры пожарной безопасности</t>
  </si>
  <si>
    <t>20 0 00 81542</t>
  </si>
  <si>
    <t>Уплата взносов на кап.ремонт многоквартирных домов</t>
  </si>
  <si>
    <t>Организация и проведение мероприятий, направленных на развитие туризма в Устьянском муниципальном округе</t>
  </si>
  <si>
    <t>Проведение культурных мероприятий на территории Устьянского муниципального округа</t>
  </si>
  <si>
    <t>Создание безопасной инфраструктуры образовательных организаций Устьянского муниципального округа</t>
  </si>
  <si>
    <t>Мероприятия в области переселения граждан из ветхого и аварийного жилья Устьянского муниципального округа Архангельской области</t>
  </si>
  <si>
    <t>Председатель представительного органа муниципального округа</t>
  </si>
  <si>
    <t>Депутаты представительного органа муниципального округа</t>
  </si>
  <si>
    <t>Обеспечение деятельности контрольно-счетной комиссии Устьянского муниципального округа</t>
  </si>
  <si>
    <t>Контрольно-счетная комиссия Устьянского муниципального округа Архангельской области</t>
  </si>
  <si>
    <t>Глава муниципального округа</t>
  </si>
  <si>
    <t>Обеспечение функционирования Главы и администрации муниципального округа</t>
  </si>
  <si>
    <t>Администрация муниципального округа</t>
  </si>
  <si>
    <t>мероприятия - Подготовка землеустроительной документации на земельные участки для проведения разграничения государственной собственности на земельные участки, предоставление земельных участков в аренду, в постоянное пользование, безвозмездное пользование, в собственность, проведение муниципального контроля в отношении земельных участков и муниципального имущества, в том числе почтовые расходы</t>
  </si>
  <si>
    <t>мероприятие - Организация получения услуг по оценке рыночной стоимости и права аренды земельных участков, находящихся в муниципальной собственности и государственная собственность на которые не разграничена, оценке рыночной стоимости и права аренды муниципального имущества, в целях предоставления на аукционах, в том числе почтовые расходы</t>
  </si>
  <si>
    <t>11 0 00 89201</t>
  </si>
  <si>
    <t>УПРАВЛЕНИЕ КУЛЬТУРЫ, СПОРТА, ТУРИЗМА И МОЛОДЕЖИ АДМИНИСТРАЦИИ УСТЬЯНСКОГО МУНИЦИПАЛЬНОГО ОКРУГА АРХАНГЕЛЬСКОЙ ОБЛАСТИ</t>
  </si>
  <si>
    <t>КОМИТЕТ ПО УПРАВЛЕНИЮ МУНИЦИПАЛЬНЫМ ИМУЩЕСТВОМ АДМИНИСТРАЦИИ УСТЬЯНСКОГО МУНИЦИПАЛЬНОГО ОКРУГА АРХАНГЕЛЬСКОЙ ОБЛАСТИ</t>
  </si>
  <si>
    <t>УПРАВЛЕНИЕ ОБРАЗОВАНИЯ АДМИНИСТРАЦИИ УСТЬЯНСКОГО МУНИЦИПАЛЬНОГО ОКРУГА АРХАНГЕЛЬСКОЙ ОБЛАСТИ</t>
  </si>
  <si>
    <t>ФИНАНСОВОЕ УПРАВЛЕНИЕ АДМИНИСТРАЦИИ УСТЬЯНСКОГО МУНИЦИПАЛЬНОГО ОКРУГА АРХАНГЕЛЬСКОЙ ОБЛАСТИ</t>
  </si>
  <si>
    <t>АДМИНИСТРАЦИЯ УСТЬЯНСКОГО МУНИЦИПАЛЬНОГО ОКРУГА АРХАНГЕЛЬСКОЙ ОБЛАСТИ</t>
  </si>
  <si>
    <t>СОБРАНИЕ ДЕПУТАТОВ УСТЬЯНСКОГО МУНИЦИПАЛЬНОГО ОКРУГА АРХАНГЕЛЬСКОЙ ОБЛАСТИ</t>
  </si>
  <si>
    <t>КОНТРОЛЬНО-СЧЕТНАЯ КОМИССИЯ УСТЬЯНСКОГО МУНИЦИПАЛЬНОГО ОКРУГА АРХАНГЕЛЬСКОЙ ОБЛАСТИ</t>
  </si>
  <si>
    <t>06 0 00 83070</t>
  </si>
  <si>
    <t>Муниципальная программа "Формирование современной городской среды на территории Устьянского муниципального округа"</t>
  </si>
  <si>
    <t>Единовременная выплата денежной компенсации больным при наличии медицинских показаний</t>
  </si>
  <si>
    <t>Резервный фонд администрации муниципального округа</t>
  </si>
  <si>
    <t>09 0 00 85550</t>
  </si>
  <si>
    <t>Реализация программ формирования современной городской среды на территории Устьянского муниципального округа за счет средств местного бюджета</t>
  </si>
  <si>
    <t>Приложение №4</t>
  </si>
  <si>
    <t>Приложение №5</t>
  </si>
  <si>
    <t>Выплата пенсии за выслугу лет лицам, замещавшим муниципальные должности и должности муниципальной службы Устьянского муниципального округа Архангельской области</t>
  </si>
  <si>
    <t xml:space="preserve">Обеспечение комплексного развития сельских территорий (Улучшение жилищных условий граждан, проживающих на сельских территориях) </t>
  </si>
  <si>
    <t>11 0 00 89202</t>
  </si>
  <si>
    <t>Прочие мероприятия в сфере обращения с отходами производства и потребления</t>
  </si>
  <si>
    <t>Проведение обследования всех многоквартирных домов по Устьянскому муниципальному округу</t>
  </si>
  <si>
    <t>Проведение обследования всех  многоквартирных домов по Устьянскому муниципальному округу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</si>
  <si>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 (субсидии бюджетам муниципальных районов, муниципальных округов, городских округов и городских поселений Архангельской области))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</si>
  <si>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районов, муниципальных округов и городских округов Архангельской области)</t>
  </si>
  <si>
    <t>05 0 00 S8270</t>
  </si>
  <si>
    <t>08 3 00 Л8320</t>
  </si>
  <si>
    <t>08 1 00 Л8650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</si>
  <si>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</si>
  <si>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</si>
  <si>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</si>
  <si>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(субвенции бюджетам муниципальных районов, муниципальных округов и городских округов Архангельской области)</t>
  </si>
  <si>
    <t>97 0 00 51201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</si>
  <si>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(субвенции бюджетам муниципальных районов, муниципальных округов и городских округов Архангельской области)</t>
  </si>
  <si>
    <t>81 2 00 Л8690</t>
  </si>
  <si>
    <t>05 0 00 Л8700</t>
  </si>
  <si>
    <t>99 0 00 51181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</si>
  <si>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</si>
  <si>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81 2 00 Л8710</t>
  </si>
  <si>
    <t>08 1 00 Л8620</t>
  </si>
  <si>
    <t>Субвенции бюджетам муниципальных районов, муниципальных округов и городских округов Архангельской области на реализацию образовательных программ</t>
  </si>
  <si>
    <t>Субвенции бюджетам муниципальных районов, муниципальных округов и городских округов Архангельской области на реализацию образовательных программ (Обеспечение функционирования модели персонифицированного финансирования дополнительного образования детей)</t>
  </si>
  <si>
    <t>08 1 03 Л8620</t>
  </si>
  <si>
    <t>08 1 00 Л8390</t>
  </si>
  <si>
    <t>08 1  00 Л8390</t>
  </si>
  <si>
    <t>08 1  00 00000</t>
  </si>
  <si>
    <t>Единая субвенция бюджетам муниципальных районов, муниципальных округов и городских округов Архангельской области</t>
  </si>
  <si>
    <t>Комплектование книжных фондов библиотек муниципальных образований Архангельской области и подписку на периодическую печать</t>
  </si>
  <si>
    <t>Поддержка территориального общественного самоуправления</t>
  </si>
  <si>
    <t>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</si>
  <si>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07 0 F3 00000</t>
  </si>
  <si>
    <t>Федеральный проект «Обеспечение устойчивого сокращения непригодного для проживания жилищного фонда»</t>
  </si>
  <si>
    <t>21 0 00 80061</t>
  </si>
  <si>
    <t>мероприятие - прочие мероприятия в сфере противопожарной безопасности недвижимого имущества</t>
  </si>
  <si>
    <t>Мероприятия по реализации инициативного проекта за счет средств местного бюджета</t>
  </si>
  <si>
    <t>02 0 00 84831</t>
  </si>
  <si>
    <t>02 0 00 84832</t>
  </si>
  <si>
    <t>Софинансирование мероприятий "Комфортное Поморье" за счет средств местного бюджета</t>
  </si>
  <si>
    <t>11 0 00 88918</t>
  </si>
  <si>
    <t>Приобретение контейнеров</t>
  </si>
  <si>
    <t>04 0 00 89203</t>
  </si>
  <si>
    <t>Строительство начальной школы-детского сада на 580 мест в с. Березник за счет средств местного бюджета</t>
  </si>
  <si>
    <t>Муниципальная программа " Формирование законопослушного поведения участников дорожного движения Устьянского муниципального округа"</t>
  </si>
  <si>
    <t>12 0 60 Э8160</t>
  </si>
  <si>
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 (Текущий ремонт нового здания муниципального бюджетного учреждения культуры «Устьянская межпоселенческая центральная районная библиотека», пос.Октябрьский)</t>
  </si>
  <si>
    <t>Субсидия на софинансирование по приобретению музыкальных инструментов за счет средств местного бюджета</t>
  </si>
  <si>
    <t>12 0  00 85051</t>
  </si>
  <si>
    <t>Оснащение МТБ учреждений культуры</t>
  </si>
  <si>
    <t>Закупка и монтаж оборудования для создания "умных" спортивных площадок (субсидии бюджетам муниципальных районов, муниципальных округов, городских округов и сельских поселений Архангельской области) п. Октябрьский</t>
  </si>
  <si>
    <t>2026 год</t>
  </si>
  <si>
    <t xml:space="preserve">Муниципальная программа "Социальное строительство, обеспечение качественным, доступным жильем и объектами инженерной инфраструктуры населения Устьянского муниципального округа" </t>
  </si>
  <si>
    <t>22 0 00 83159</t>
  </si>
  <si>
    <t>Актуализация схем теплоснабжения</t>
  </si>
  <si>
    <t>Актуализация схем водоснабжения и водоотведения</t>
  </si>
  <si>
    <t>Подготовка, организация и проведение для МСП и самозанятых граждан конференций, семинаров, тренингов, круглых столов, деловых миссий</t>
  </si>
  <si>
    <t>к  решению сессии первого созыва Собрания депутатов № от   декабря 2024 года</t>
  </si>
  <si>
    <t>к  решению сессии первого созыва Собрания депутатов №  от  декабря 2024 года</t>
  </si>
  <si>
    <t xml:space="preserve">Распределение бюджетных ассигнований по разделам и подразделам классификации расходов бюджета Устьянского муниципального округа на 2025 год и на плановый период 2026 и 2027 годов </t>
  </si>
  <si>
    <t>2027 год</t>
  </si>
  <si>
    <t xml:space="preserve">Ведомственная структура расходов бюджета Устьянского муниципального округа на 2025 год и на плановый период 2026 и 2027 годов </t>
  </si>
  <si>
    <t>Распределение бюджетных ассигнований на реализацию муниципальных программ  и непрограммных направлений деятельности бюджета Устьянского муниципального округа на 2025 год и плановый период 2026 и 2027 годов</t>
  </si>
  <si>
    <t>прил 4</t>
  </si>
  <si>
    <t>откл 3</t>
  </si>
  <si>
    <t>откл 5</t>
  </si>
  <si>
    <t>Федеральный проект "Патриотическое воспитание граждан Российской Федерации</t>
  </si>
  <si>
    <t>Федеральный проект "Педагоги и наставники"</t>
  </si>
  <si>
    <t>08 1 Ю6 00000</t>
  </si>
  <si>
    <t>08 1 Ю6 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</si>
  <si>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(субвенции бюджетам муниципальных районов, муниципальных округов и городских округов Архангельской области)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</si>
  <si>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</si>
  <si>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организации и осуществлению деятельности по опеке и попечительству</t>
  </si>
  <si>
    <t>81 2 01 Л8790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</si>
  <si>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</si>
  <si>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</si>
  <si>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</si>
  <si>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Субвенции бюджетам муниципальных районов, муниципальных округов и городских округов Архангельской области на компенсацию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</si>
  <si>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формированию торгового реестра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</si>
  <si>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</si>
  <si>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</si>
  <si>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Федеральный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</si>
  <si>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23 0 9W 00000</t>
  </si>
  <si>
    <t>08 1 Ю6 53032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</si>
  <si>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</si>
  <si>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81 2 00 Л8790</t>
  </si>
  <si>
    <t>81 2 02 Л8790</t>
  </si>
  <si>
    <t>81 2 00 Л8660</t>
  </si>
  <si>
    <t>Обеспечение комплексного развития сельских территорий (строительство начальной школы – детского сада на 580 мест, в т.ч. 180 мест – под детский сад по адресу: Архангельская область, Устьянский район, с. Березник)</t>
  </si>
  <si>
    <t>Обеспечение комплексного развития сельских территорий (строительство интерната для учащихся на 200 мест в с. Березник Устьянского района МО "Березницкое" Архангельской области)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</si>
  <si>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жилых помещений специализированного жилищного фонда детям-сиротам и детям, оставшимся без попечения родителей, лицам из числа детей-сирот и детей, оставшихся без попечения родителей, за счет средств областного бюджета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</si>
  <si>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выплат на приобретение благоустроенных жилых помещений в собственность или для полного погашения кредитов (займов) по договорам, обязательства заемщика по которым обеспечены ипотекой</t>
  </si>
  <si>
    <t>Субвенции бюджетам муниципальных районов, муниципальных округов и городских округов Архангельской области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</t>
  </si>
  <si>
    <t>08 1 Ю0 00000</t>
  </si>
  <si>
    <t>Национальный проект "Моложежь и дети"</t>
  </si>
  <si>
    <t>23 0 00 Л8771</t>
  </si>
  <si>
    <t>23 0 00 Л8770</t>
  </si>
  <si>
    <t>23 0 00 R0821</t>
  </si>
  <si>
    <t>Снос зданий, находящихся в муниципальной собственности, признанных аварийными и подлежащими сносу на территории Устьянского муниципального округа</t>
  </si>
  <si>
    <t>03 0 00 80624</t>
  </si>
  <si>
    <t xml:space="preserve">320 </t>
  </si>
  <si>
    <t>Оборудование источников наружного противопожарного водоснабжения за счет средств местного бюджета</t>
  </si>
  <si>
    <t>20 0 00 86630</t>
  </si>
  <si>
    <t>Приобретение и установка автономных дымовых пожарных извещателей за счет средств местного бюджета</t>
  </si>
  <si>
    <t>20 0 00 86870</t>
  </si>
  <si>
    <t>23 0 00 87463</t>
  </si>
  <si>
    <t xml:space="preserve">Выплата премий сотрудникам и работникам УМВД РФ по Архангельской области за формирование у граждан патриотического сознания </t>
  </si>
  <si>
    <t xml:space="preserve">Разработка проектно-сметной документации на  строительство и реконструкцию (модернизацию) объектов водоотведения подключение блочно-модульной станции очистки воды, строительство водопроводных сетей </t>
  </si>
  <si>
    <t>22 0 00 S3730</t>
  </si>
  <si>
    <t>Устройство ограждения баскетбольной площадки в с. Малодоры</t>
  </si>
  <si>
    <t>04 0 00 83178</t>
  </si>
  <si>
    <t>Корректировка проектно-сметной документации по объекту "Строительство и подключение блочно-модульных станций очистки воды, строительство водопроводных сетей, пос.Кизема"</t>
  </si>
  <si>
    <t>04 0 00 L5761</t>
  </si>
  <si>
    <t>04 0 00 L5763</t>
  </si>
  <si>
    <t>08 2 00 80196</t>
  </si>
  <si>
    <t>Проведение строительного контроля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</si>
  <si>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</si>
  <si>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08 2 00 S6960</t>
  </si>
  <si>
    <t>Текущий ремонт учреждений культуры</t>
  </si>
  <si>
    <t>12 0 00 85017</t>
  </si>
  <si>
    <t>Приобретение оборудования и монтаж узла тепловой энергии</t>
  </si>
  <si>
    <t>12 0 00 85018</t>
  </si>
  <si>
    <t>Услуги реставратора</t>
  </si>
  <si>
    <t>12 0 00 85019</t>
  </si>
  <si>
    <t>Издательская деятельность</t>
  </si>
  <si>
    <t>12 0  00 85042</t>
  </si>
  <si>
    <t xml:space="preserve">Приложение № 3 </t>
  </si>
  <si>
    <t>Поддержка деятельности добровольных пожарных дружин</t>
  </si>
  <si>
    <t xml:space="preserve">Выплата премий за отличное исполнение обязанностей по  патриотическому воспитанию граждан на территории Устьянского муниципального округа </t>
  </si>
  <si>
    <t>Проведение мероприятий для выявления одаренных и талантливых детей, обеспечение участия одаренных детей в мероприятиях различного уровня</t>
  </si>
  <si>
    <t>12 0  00 80150</t>
  </si>
  <si>
    <t>Обеспечение комплексного развития сельских территорий (строительство начальной школы-детского сада на 580 мест, в т.ч. 180 мест - под детский сад по адресу: Архангельская область, Устьянский район, с. Березник), за счет добровольного пожертвования денежных средств ООО "Группа Компаний "УЛК"</t>
  </si>
  <si>
    <t>04 0 00 85761</t>
  </si>
  <si>
    <t>Обеспечение комплексного развития сельских территорий (строительство интерната для учащихся на 200 мест в с. Березник Устьянского района МО "Березницкое" Архангельской области), за счет добровольного пожертвования денежных средств ООО "Группа Компаний "УЛК"</t>
  </si>
  <si>
    <t>04 0 00 85763</t>
  </si>
  <si>
    <t>Подпрограмма "Создание условий для реализации программы"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</si>
</sst>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р_."/>
    <numFmt numFmtId="165" formatCode="#,##0.00\ &quot;₽&quot;"/>
  </numFmts>
  <fonts count="32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Arial Cyr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13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 Cyr"/>
      <charset val="204"/>
    </font>
    <font>
      <b/>
      <i/>
      <sz val="10"/>
      <name val="Arial Cyr"/>
      <family val="2"/>
      <charset val="204"/>
    </font>
    <font>
      <b/>
      <i/>
      <sz val="13"/>
      <name val="Arial Cyr"/>
      <family val="2"/>
      <charset val="204"/>
    </font>
    <font>
      <i/>
      <sz val="10"/>
      <name val="Arial Cyr"/>
      <family val="2"/>
      <charset val="204"/>
    </font>
    <font>
      <sz val="13"/>
      <name val="Arial Cyr"/>
      <family val="2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b/>
      <sz val="10"/>
      <color indexed="10"/>
      <name val="Arial Cyr"/>
      <charset val="204"/>
    </font>
    <font>
      <b/>
      <sz val="10"/>
      <color indexed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3"/>
      <name val="Arial Cyr"/>
      <charset val="204"/>
    </font>
    <font>
      <b/>
      <sz val="10"/>
      <color rgb="FF002060"/>
      <name val="Arial Cyr"/>
      <family val="2"/>
      <charset val="204"/>
    </font>
    <font>
      <sz val="10"/>
      <color rgb="FFFF0000"/>
      <name val="Arial Cyr"/>
      <charset val="204"/>
    </font>
    <font>
      <b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66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322">
    <xf numFmtId="0" fontId="0" fillId="0" borderId="0" xfId="0"/>
    <xf numFmtId="0" fontId="0" fillId="0" borderId="0" xfId="0" applyFill="1"/>
    <xf numFmtId="4" fontId="0" fillId="0" borderId="0" xfId="0" applyNumberFormat="1" applyFill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" fontId="3" fillId="0" borderId="0" xfId="0" applyNumberFormat="1" applyFont="1" applyFill="1"/>
    <xf numFmtId="0" fontId="3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0" xfId="0" applyNumberFormat="1" applyFont="1" applyFill="1"/>
    <xf numFmtId="0" fontId="7" fillId="0" borderId="0" xfId="0" applyFont="1" applyFill="1"/>
    <xf numFmtId="0" fontId="8" fillId="0" borderId="1" xfId="0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4" fontId="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4" fontId="12" fillId="0" borderId="0" xfId="0" applyNumberFormat="1" applyFont="1" applyFill="1"/>
    <xf numFmtId="0" fontId="12" fillId="0" borderId="0" xfId="0" applyFont="1" applyFill="1"/>
    <xf numFmtId="0" fontId="13" fillId="0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wrapText="1"/>
    </xf>
    <xf numFmtId="49" fontId="10" fillId="0" borderId="0" xfId="0" applyNumberFormat="1" applyFont="1" applyFill="1"/>
    <xf numFmtId="49" fontId="0" fillId="0" borderId="0" xfId="0" applyNumberFormat="1" applyFill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Fill="1"/>
    <xf numFmtId="49" fontId="7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/>
    </xf>
    <xf numFmtId="0" fontId="0" fillId="0" borderId="0" xfId="0" applyFont="1" applyFill="1" applyBorder="1"/>
    <xf numFmtId="0" fontId="0" fillId="0" borderId="0" xfId="0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4" fontId="8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/>
    <xf numFmtId="49" fontId="22" fillId="0" borderId="1" xfId="0" applyNumberFormat="1" applyFont="1" applyFill="1" applyBorder="1" applyAlignment="1">
      <alignment horizontal="center" vertical="center"/>
    </xf>
    <xf numFmtId="0" fontId="24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27" fillId="0" borderId="0" xfId="0" applyFont="1" applyFill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4" fontId="1" fillId="2" borderId="0" xfId="0" applyNumberFormat="1" applyFont="1" applyFill="1" applyAlignment="1">
      <alignment horizontal="center" vertical="center"/>
    </xf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28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3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6" fillId="0" borderId="0" xfId="0" applyFont="1" applyAlignment="1">
      <alignment wrapText="1"/>
    </xf>
    <xf numFmtId="0" fontId="12" fillId="3" borderId="1" xfId="0" applyFont="1" applyFill="1" applyBorder="1" applyAlignment="1">
      <alignment horizontal="left" vertical="center" wrapText="1"/>
    </xf>
    <xf numFmtId="4" fontId="10" fillId="0" borderId="0" xfId="0" applyNumberFormat="1" applyFont="1" applyFill="1"/>
    <xf numFmtId="4" fontId="0" fillId="0" borderId="0" xfId="0" applyNumberFormat="1" applyFont="1" applyFill="1"/>
    <xf numFmtId="4" fontId="1" fillId="0" borderId="0" xfId="0" applyNumberFormat="1" applyFont="1" applyFill="1"/>
    <xf numFmtId="4" fontId="20" fillId="0" borderId="0" xfId="0" applyNumberFormat="1" applyFont="1" applyFill="1"/>
    <xf numFmtId="4" fontId="13" fillId="0" borderId="0" xfId="0" applyNumberFormat="1" applyFont="1" applyFill="1"/>
    <xf numFmtId="0" fontId="0" fillId="0" borderId="1" xfId="0" applyFill="1" applyBorder="1" applyAlignment="1">
      <alignment horizontal="left" vertical="center"/>
    </xf>
    <xf numFmtId="4" fontId="1" fillId="0" borderId="1" xfId="0" applyNumberFormat="1" applyFont="1" applyFill="1" applyBorder="1"/>
    <xf numFmtId="0" fontId="1" fillId="0" borderId="1" xfId="0" applyFont="1" applyFill="1" applyBorder="1"/>
    <xf numFmtId="4" fontId="7" fillId="2" borderId="0" xfId="0" applyNumberFormat="1" applyFont="1" applyFill="1"/>
    <xf numFmtId="0" fontId="7" fillId="2" borderId="0" xfId="0" applyFont="1" applyFill="1"/>
    <xf numFmtId="4" fontId="0" fillId="2" borderId="0" xfId="0" applyNumberFormat="1" applyFill="1"/>
    <xf numFmtId="0" fontId="8" fillId="0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left" vertical="top" wrapText="1"/>
    </xf>
    <xf numFmtId="0" fontId="27" fillId="2" borderId="0" xfId="0" applyFont="1" applyFill="1" applyAlignment="1">
      <alignment wrapText="1"/>
    </xf>
    <xf numFmtId="0" fontId="8" fillId="2" borderId="1" xfId="0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0" fillId="2" borderId="0" xfId="0" applyFont="1" applyFill="1"/>
    <xf numFmtId="0" fontId="1" fillId="2" borderId="0" xfId="0" applyFont="1" applyFill="1"/>
    <xf numFmtId="4" fontId="0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" fontId="24" fillId="2" borderId="0" xfId="0" applyNumberFormat="1" applyFont="1" applyFill="1"/>
    <xf numFmtId="0" fontId="24" fillId="2" borderId="0" xfId="0" applyFont="1" applyFill="1"/>
    <xf numFmtId="49" fontId="7" fillId="2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/>
    <xf numFmtId="49" fontId="9" fillId="2" borderId="1" xfId="0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wrapText="1"/>
    </xf>
    <xf numFmtId="4" fontId="29" fillId="0" borderId="0" xfId="0" applyNumberFormat="1" applyFont="1" applyFill="1"/>
    <xf numFmtId="4" fontId="8" fillId="0" borderId="0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Border="1" applyAlignment="1">
      <alignment horizontal="center" vertical="center"/>
    </xf>
    <xf numFmtId="4" fontId="0" fillId="2" borderId="0" xfId="0" applyNumberForma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wrapText="1"/>
    </xf>
    <xf numFmtId="0" fontId="3" fillId="0" borderId="0" xfId="0" applyFont="1" applyFill="1" applyBorder="1"/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0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4" fontId="0" fillId="2" borderId="0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3" fillId="2" borderId="0" xfId="0" applyFont="1" applyFill="1" applyBorder="1"/>
    <xf numFmtId="0" fontId="12" fillId="2" borderId="0" xfId="0" applyFont="1" applyFill="1" applyBorder="1"/>
    <xf numFmtId="0" fontId="10" fillId="2" borderId="0" xfId="0" applyFont="1" applyFill="1" applyBorder="1"/>
    <xf numFmtId="4" fontId="12" fillId="2" borderId="0" xfId="0" applyNumberFormat="1" applyFont="1" applyFill="1" applyBorder="1"/>
    <xf numFmtId="0" fontId="7" fillId="2" borderId="0" xfId="0" applyFont="1" applyFill="1" applyBorder="1"/>
    <xf numFmtId="4" fontId="7" fillId="2" borderId="0" xfId="0" applyNumberFormat="1" applyFont="1" applyFill="1" applyBorder="1"/>
    <xf numFmtId="4" fontId="0" fillId="2" borderId="0" xfId="0" applyNumberFormat="1" applyFill="1" applyBorder="1"/>
    <xf numFmtId="4" fontId="10" fillId="2" borderId="0" xfId="0" applyNumberFormat="1" applyFont="1" applyFill="1" applyBorder="1"/>
    <xf numFmtId="0" fontId="13" fillId="2" borderId="0" xfId="0" applyFont="1" applyFill="1" applyBorder="1"/>
    <xf numFmtId="4" fontId="0" fillId="2" borderId="0" xfId="0" applyNumberFormat="1" applyFont="1" applyFill="1" applyBorder="1"/>
    <xf numFmtId="4" fontId="3" fillId="2" borderId="0" xfId="0" applyNumberFormat="1" applyFont="1" applyFill="1" applyBorder="1"/>
    <xf numFmtId="49" fontId="10" fillId="2" borderId="0" xfId="0" applyNumberFormat="1" applyFont="1" applyFill="1" applyBorder="1"/>
    <xf numFmtId="49" fontId="0" fillId="2" borderId="0" xfId="0" applyNumberFormat="1" applyFill="1" applyBorder="1"/>
    <xf numFmtId="4" fontId="13" fillId="2" borderId="0" xfId="0" applyNumberFormat="1" applyFont="1" applyFill="1" applyBorder="1"/>
    <xf numFmtId="0" fontId="0" fillId="2" borderId="0" xfId="0" applyFont="1" applyFill="1" applyBorder="1"/>
    <xf numFmtId="0" fontId="30" fillId="2" borderId="0" xfId="0" applyFont="1" applyFill="1" applyBorder="1"/>
    <xf numFmtId="2" fontId="3" fillId="2" borderId="0" xfId="0" applyNumberFormat="1" applyFont="1" applyFill="1" applyBorder="1"/>
    <xf numFmtId="2" fontId="0" fillId="2" borderId="0" xfId="0" applyNumberFormat="1" applyFill="1" applyBorder="1"/>
    <xf numFmtId="4" fontId="21" fillId="0" borderId="0" xfId="0" applyNumberFormat="1" applyFont="1" applyFill="1"/>
    <xf numFmtId="0" fontId="21" fillId="0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4" fontId="7" fillId="0" borderId="0" xfId="0" applyNumberFormat="1" applyFont="1" applyFill="1" applyAlignment="1">
      <alignment wrapText="1"/>
    </xf>
    <xf numFmtId="4" fontId="24" fillId="0" borderId="0" xfId="0" applyNumberFormat="1" applyFont="1" applyFill="1"/>
    <xf numFmtId="49" fontId="24" fillId="0" borderId="0" xfId="0" applyNumberFormat="1" applyFont="1" applyFill="1"/>
    <xf numFmtId="4" fontId="3" fillId="0" borderId="0" xfId="0" applyNumberFormat="1" applyFont="1" applyFill="1" applyBorder="1"/>
    <xf numFmtId="4" fontId="0" fillId="0" borderId="0" xfId="0" applyNumberFormat="1" applyFill="1" applyBorder="1"/>
    <xf numFmtId="4" fontId="3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wrapText="1"/>
    </xf>
    <xf numFmtId="0" fontId="2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49" fontId="7" fillId="0" borderId="1" xfId="0" applyNumberFormat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/>
    <xf numFmtId="0" fontId="26" fillId="0" borderId="0" xfId="0" applyFont="1" applyFill="1" applyAlignment="1">
      <alignment wrapText="1"/>
    </xf>
    <xf numFmtId="0" fontId="26" fillId="0" borderId="1" xfId="0" applyFont="1" applyFill="1" applyBorder="1" applyAlignment="1">
      <alignment wrapText="1"/>
    </xf>
    <xf numFmtId="4" fontId="5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49" fontId="0" fillId="0" borderId="0" xfId="0" applyNumberFormat="1" applyFill="1" applyBorder="1"/>
    <xf numFmtId="4" fontId="10" fillId="0" borderId="0" xfId="0" applyNumberFormat="1" applyFont="1" applyFill="1" applyBorder="1"/>
    <xf numFmtId="4" fontId="0" fillId="0" borderId="0" xfId="0" applyNumberFormat="1" applyFill="1" applyBorder="1" applyAlignment="1">
      <alignment horizontal="center" vertical="center"/>
    </xf>
    <xf numFmtId="0" fontId="12" fillId="0" borderId="0" xfId="0" applyFont="1" applyFill="1" applyBorder="1"/>
    <xf numFmtId="0" fontId="0" fillId="0" borderId="1" xfId="0" applyFill="1" applyBorder="1" applyAlignment="1">
      <alignment horizontal="left" vertical="center" wrapText="1"/>
    </xf>
    <xf numFmtId="4" fontId="12" fillId="0" borderId="0" xfId="0" applyNumberFormat="1" applyFont="1" applyFill="1" applyBorder="1"/>
    <xf numFmtId="0" fontId="12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left" vertical="center" wrapText="1"/>
    </xf>
    <xf numFmtId="4" fontId="7" fillId="4" borderId="0" xfId="0" applyNumberFormat="1" applyFont="1" applyFill="1"/>
    <xf numFmtId="0" fontId="8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wrapText="1"/>
    </xf>
    <xf numFmtId="49" fontId="8" fillId="0" borderId="5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14" fillId="0" borderId="0" xfId="0" applyFont="1" applyFill="1" applyBorder="1"/>
    <xf numFmtId="0" fontId="14" fillId="0" borderId="0" xfId="0" applyFont="1" applyFill="1"/>
    <xf numFmtId="0" fontId="16" fillId="0" borderId="0" xfId="0" applyFont="1" applyFill="1" applyBorder="1"/>
    <xf numFmtId="0" fontId="16" fillId="0" borderId="0" xfId="0" applyFont="1" applyFill="1"/>
    <xf numFmtId="0" fontId="7" fillId="4" borderId="1" xfId="0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/>
    <xf numFmtId="0" fontId="31" fillId="0" borderId="1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textRotation="90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27" fillId="0" borderId="1" xfId="0" applyFont="1" applyBorder="1" applyAlignment="1">
      <alignment wrapText="1"/>
    </xf>
    <xf numFmtId="0" fontId="27" fillId="0" borderId="0" xfId="0" applyFont="1" applyAlignment="1">
      <alignment wrapText="1"/>
    </xf>
    <xf numFmtId="4" fontId="8" fillId="0" borderId="1" xfId="0" applyNumberFormat="1" applyFont="1" applyFill="1" applyBorder="1" applyAlignment="1">
      <alignment horizontal="center"/>
    </xf>
    <xf numFmtId="0" fontId="19" fillId="4" borderId="1" xfId="0" applyFont="1" applyFill="1" applyBorder="1" applyAlignment="1">
      <alignment horizontal="left" vertical="center"/>
    </xf>
    <xf numFmtId="0" fontId="19" fillId="4" borderId="1" xfId="0" applyFont="1" applyFill="1" applyBorder="1" applyAlignment="1">
      <alignment horizontal="center" vertical="center" textRotation="90" wrapText="1"/>
    </xf>
    <xf numFmtId="4" fontId="19" fillId="4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vertical="center" wrapText="1"/>
    </xf>
    <xf numFmtId="4" fontId="7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horizontal="left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left" vertical="center"/>
    </xf>
    <xf numFmtId="0" fontId="31" fillId="4" borderId="1" xfId="0" applyFont="1" applyFill="1" applyBorder="1" applyAlignment="1">
      <alignment horizontal="center" vertical="center" textRotation="90" wrapText="1"/>
    </xf>
    <xf numFmtId="4" fontId="31" fillId="4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 wrapText="1"/>
    </xf>
    <xf numFmtId="0" fontId="26" fillId="0" borderId="1" xfId="0" applyFont="1" applyBorder="1"/>
    <xf numFmtId="0" fontId="0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wrapText="1"/>
    </xf>
    <xf numFmtId="0" fontId="26" fillId="2" borderId="0" xfId="0" applyFont="1" applyFill="1" applyAlignment="1">
      <alignment horizontal="left" wrapText="1"/>
    </xf>
    <xf numFmtId="4" fontId="0" fillId="2" borderId="1" xfId="0" applyNumberFormat="1" applyFont="1" applyFill="1" applyBorder="1" applyAlignment="1">
      <alignment horizontal="center"/>
    </xf>
    <xf numFmtId="49" fontId="8" fillId="2" borderId="7" xfId="0" applyNumberFormat="1" applyFont="1" applyFill="1" applyBorder="1" applyAlignment="1">
      <alignment horizontal="center" vertical="center"/>
    </xf>
    <xf numFmtId="4" fontId="26" fillId="2" borderId="1" xfId="0" applyNumberFormat="1" applyFont="1" applyFill="1" applyBorder="1" applyAlignment="1">
      <alignment horizontal="center" wrapText="1"/>
    </xf>
    <xf numFmtId="0" fontId="26" fillId="2" borderId="1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165" fontId="27" fillId="2" borderId="0" xfId="0" applyNumberFormat="1" applyFont="1" applyFill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24" fillId="2" borderId="0" xfId="0" applyNumberFormat="1" applyFont="1" applyFill="1"/>
    <xf numFmtId="4" fontId="29" fillId="2" borderId="0" xfId="0" applyNumberFormat="1" applyFont="1" applyFill="1"/>
    <xf numFmtId="4" fontId="10" fillId="2" borderId="0" xfId="0" applyNumberFormat="1" applyFont="1" applyFill="1"/>
    <xf numFmtId="49" fontId="10" fillId="2" borderId="0" xfId="0" applyNumberFormat="1" applyFont="1" applyFill="1"/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26" fillId="2" borderId="0" xfId="0" applyFont="1" applyFill="1"/>
    <xf numFmtId="0" fontId="8" fillId="2" borderId="0" xfId="0" applyFont="1" applyFill="1" applyAlignment="1">
      <alignment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1" xfId="0" applyFont="1" applyFill="1" applyBorder="1" applyAlignment="1">
      <alignment horizontal="center" vertical="center" textRotation="90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wrapText="1"/>
    </xf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" fontId="0" fillId="2" borderId="1" xfId="0" applyNumberForma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&#8470;1%20&#1087;&#1086;%20&#1076;&#1086;&#1093;&#1086;&#1076;&#1072;&#1084;%20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на 2025"/>
      <sheetName val="Приложение на 2025 (2)"/>
    </sheetNames>
    <sheetDataSet>
      <sheetData sheetId="0"/>
      <sheetData sheetId="1">
        <row r="53">
          <cell r="G53">
            <v>25014506.351499997</v>
          </cell>
          <cell r="H53">
            <v>53863032.033500001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0"/>
  <sheetViews>
    <sheetView topLeftCell="A34" zoomScaleNormal="100" zoomScaleSheetLayoutView="100" workbookViewId="0">
      <selection activeCell="O49" sqref="O49"/>
    </sheetView>
  </sheetViews>
  <sheetFormatPr defaultColWidth="9.109375" defaultRowHeight="13.2" x14ac:dyDescent="0.25"/>
  <cols>
    <col min="1" max="1" width="1.88671875" style="62" customWidth="1"/>
    <col min="2" max="2" width="61.33203125" style="62" customWidth="1"/>
    <col min="3" max="3" width="6.88671875" style="65" hidden="1" customWidth="1"/>
    <col min="4" max="4" width="6.5546875" style="65" customWidth="1"/>
    <col min="5" max="5" width="8" style="65" customWidth="1"/>
    <col min="6" max="8" width="22.109375" style="64" customWidth="1"/>
    <col min="9" max="9" width="13.88671875" style="62" hidden="1" customWidth="1"/>
    <col min="10" max="10" width="2" style="62" customWidth="1"/>
    <col min="11" max="11" width="13.88671875" style="62" hidden="1" customWidth="1"/>
    <col min="12" max="16384" width="9.109375" style="62"/>
  </cols>
  <sheetData>
    <row r="1" spans="2:10" customFormat="1" ht="24.6" customHeight="1" x14ac:dyDescent="0.25">
      <c r="B1" s="62"/>
      <c r="C1" s="226"/>
      <c r="D1" s="65"/>
      <c r="E1" s="65"/>
      <c r="F1" s="299" t="s">
        <v>547</v>
      </c>
      <c r="G1" s="299"/>
      <c r="H1" s="89"/>
      <c r="I1" s="89"/>
      <c r="J1" s="91"/>
    </row>
    <row r="2" spans="2:10" customFormat="1" ht="32.25" customHeight="1" x14ac:dyDescent="0.25">
      <c r="B2" s="62"/>
      <c r="C2" s="226"/>
      <c r="D2" s="65"/>
      <c r="E2" s="65"/>
      <c r="F2" s="299" t="s">
        <v>479</v>
      </c>
      <c r="G2" s="300"/>
      <c r="H2" s="300"/>
      <c r="I2" s="89"/>
      <c r="J2" s="91"/>
    </row>
    <row r="3" spans="2:10" s="61" customFormat="1" ht="51" customHeight="1" x14ac:dyDescent="0.25">
      <c r="B3" s="303" t="s">
        <v>480</v>
      </c>
      <c r="C3" s="303"/>
      <c r="D3" s="303"/>
      <c r="E3" s="303"/>
      <c r="F3" s="303"/>
      <c r="G3" s="304"/>
      <c r="H3" s="304"/>
    </row>
    <row r="4" spans="2:10" s="61" customFormat="1" ht="16.5" customHeight="1" x14ac:dyDescent="0.25">
      <c r="B4" s="301" t="s">
        <v>3</v>
      </c>
      <c r="C4" s="90"/>
      <c r="D4" s="305" t="s">
        <v>5</v>
      </c>
      <c r="E4" s="305" t="s">
        <v>6</v>
      </c>
      <c r="F4" s="307" t="s">
        <v>232</v>
      </c>
      <c r="G4" s="301"/>
      <c r="H4" s="301"/>
    </row>
    <row r="5" spans="2:10" s="3" customFormat="1" ht="12.75" customHeight="1" x14ac:dyDescent="0.25">
      <c r="B5" s="302"/>
      <c r="C5" s="305" t="s">
        <v>4</v>
      </c>
      <c r="D5" s="302"/>
      <c r="E5" s="302"/>
      <c r="F5" s="306" t="s">
        <v>354</v>
      </c>
      <c r="G5" s="306" t="s">
        <v>472</v>
      </c>
      <c r="H5" s="306" t="s">
        <v>481</v>
      </c>
      <c r="I5" s="62"/>
      <c r="J5" s="62"/>
    </row>
    <row r="6" spans="2:10" s="3" customFormat="1" ht="35.25" customHeight="1" x14ac:dyDescent="0.25">
      <c r="B6" s="302"/>
      <c r="C6" s="305"/>
      <c r="D6" s="302"/>
      <c r="E6" s="302"/>
      <c r="F6" s="306"/>
      <c r="G6" s="306"/>
      <c r="H6" s="306"/>
      <c r="I6" s="62"/>
      <c r="J6" s="62"/>
    </row>
    <row r="7" spans="2:10" s="3" customFormat="1" x14ac:dyDescent="0.25">
      <c r="B7" s="92">
        <v>1</v>
      </c>
      <c r="C7" s="92">
        <v>2</v>
      </c>
      <c r="D7" s="92">
        <v>2</v>
      </c>
      <c r="E7" s="92">
        <v>3</v>
      </c>
      <c r="F7" s="93">
        <v>4</v>
      </c>
      <c r="G7" s="93">
        <v>5</v>
      </c>
      <c r="H7" s="93">
        <v>6</v>
      </c>
      <c r="I7" s="62"/>
      <c r="J7" s="62"/>
    </row>
    <row r="8" spans="2:10" ht="16.8" x14ac:dyDescent="0.25">
      <c r="B8" s="68"/>
      <c r="C8" s="68"/>
      <c r="D8" s="68"/>
      <c r="E8" s="68"/>
      <c r="F8" s="68"/>
      <c r="G8" s="68"/>
      <c r="H8" s="68"/>
    </row>
    <row r="9" spans="2:10" s="3" customFormat="1" x14ac:dyDescent="0.25">
      <c r="B9" s="5" t="s">
        <v>9</v>
      </c>
      <c r="C9" s="45">
        <v>793</v>
      </c>
      <c r="D9" s="7" t="s">
        <v>10</v>
      </c>
      <c r="E9" s="7"/>
      <c r="F9" s="38">
        <f>F10+F11+F12+F14+F15+F16+F13</f>
        <v>184358241.91</v>
      </c>
      <c r="G9" s="38">
        <f t="shared" ref="G9:H9" si="0">G10+G11+G12+G14+G15+G16+G13</f>
        <v>185452609.48000002</v>
      </c>
      <c r="H9" s="38">
        <f t="shared" si="0"/>
        <v>187473449.59</v>
      </c>
      <c r="I9" s="63">
        <f>прил4.!G127+прил4.!G350+прил4.!G381+прил4.!G700</f>
        <v>181170713.91</v>
      </c>
      <c r="J9" s="62"/>
    </row>
    <row r="10" spans="2:10" s="3" customFormat="1" ht="26.4" x14ac:dyDescent="0.25">
      <c r="B10" s="53" t="s">
        <v>197</v>
      </c>
      <c r="C10" s="76">
        <v>793</v>
      </c>
      <c r="D10" s="10" t="s">
        <v>10</v>
      </c>
      <c r="E10" s="10" t="s">
        <v>19</v>
      </c>
      <c r="F10" s="27">
        <f>прил4.!G382</f>
        <v>2663729</v>
      </c>
      <c r="G10" s="27">
        <f>прил4.!H382</f>
        <v>2690366</v>
      </c>
      <c r="H10" s="27">
        <f>прил4.!I382</f>
        <v>2717270</v>
      </c>
      <c r="I10" s="62"/>
      <c r="J10" s="62"/>
    </row>
    <row r="11" spans="2:10" s="3" customFormat="1" ht="39.6" x14ac:dyDescent="0.25">
      <c r="B11" s="51" t="s">
        <v>227</v>
      </c>
      <c r="C11" s="76">
        <v>794</v>
      </c>
      <c r="D11" s="52" t="s">
        <v>10</v>
      </c>
      <c r="E11" s="52" t="s">
        <v>49</v>
      </c>
      <c r="F11" s="27">
        <f>прил4.!G701</f>
        <v>4363750</v>
      </c>
      <c r="G11" s="27">
        <f>прил4.!H701</f>
        <v>4911478</v>
      </c>
      <c r="H11" s="27">
        <f>прил4.!I701</f>
        <v>4964861</v>
      </c>
      <c r="I11" s="62"/>
      <c r="J11" s="62"/>
    </row>
    <row r="12" spans="2:10" s="3" customFormat="1" ht="39.6" x14ac:dyDescent="0.25">
      <c r="B12" s="53" t="s">
        <v>54</v>
      </c>
      <c r="C12" s="76">
        <v>793</v>
      </c>
      <c r="D12" s="10" t="s">
        <v>10</v>
      </c>
      <c r="E12" s="10" t="s">
        <v>38</v>
      </c>
      <c r="F12" s="27">
        <f>прил4.!G128+прил4.!G388</f>
        <v>119858635.94</v>
      </c>
      <c r="G12" s="27">
        <f>прил4.!H128+прил4.!H388</f>
        <v>121689868.3</v>
      </c>
      <c r="H12" s="27">
        <f>прил4.!I128+прил4.!I388</f>
        <v>123458749.65000001</v>
      </c>
      <c r="I12" s="62"/>
      <c r="J12" s="62"/>
    </row>
    <row r="13" spans="2:10" s="3" customFormat="1" x14ac:dyDescent="0.25">
      <c r="B13" s="16" t="s">
        <v>177</v>
      </c>
      <c r="C13" s="76"/>
      <c r="D13" s="10" t="s">
        <v>10</v>
      </c>
      <c r="E13" s="10" t="s">
        <v>98</v>
      </c>
      <c r="F13" s="25">
        <f>прил4.!G431</f>
        <v>6104.51</v>
      </c>
      <c r="G13" s="25">
        <f>прил4.!H431</f>
        <v>147010.01</v>
      </c>
      <c r="H13" s="25">
        <f>прил4.!I431</f>
        <v>6044.77</v>
      </c>
      <c r="I13" s="62"/>
      <c r="J13" s="62"/>
    </row>
    <row r="14" spans="2:10" s="3" customFormat="1" ht="26.4" x14ac:dyDescent="0.25">
      <c r="B14" s="53" t="s">
        <v>91</v>
      </c>
      <c r="C14" s="45">
        <v>792</v>
      </c>
      <c r="D14" s="10" t="s">
        <v>10</v>
      </c>
      <c r="E14" s="10" t="s">
        <v>92</v>
      </c>
      <c r="F14" s="25">
        <f>прил4.!G351+прил4.!G725</f>
        <v>19011007.810000002</v>
      </c>
      <c r="G14" s="25">
        <f>прил4.!H351+прил4.!H725</f>
        <v>19294768</v>
      </c>
      <c r="H14" s="25">
        <f>прил4.!I351+прил4.!I725</f>
        <v>19607742</v>
      </c>
      <c r="I14" s="62"/>
      <c r="J14" s="62"/>
    </row>
    <row r="15" spans="2:10" s="3" customFormat="1" x14ac:dyDescent="0.25">
      <c r="B15" s="51" t="s">
        <v>204</v>
      </c>
      <c r="C15" s="76">
        <v>793</v>
      </c>
      <c r="D15" s="52" t="s">
        <v>10</v>
      </c>
      <c r="E15" s="52" t="s">
        <v>51</v>
      </c>
      <c r="F15" s="27">
        <f>прил4.!G436</f>
        <v>1000000</v>
      </c>
      <c r="G15" s="27">
        <f>прил4.!H436</f>
        <v>1000000</v>
      </c>
      <c r="H15" s="27">
        <f>прил4.!I436</f>
        <v>1000000</v>
      </c>
      <c r="I15" s="62"/>
      <c r="J15" s="62"/>
    </row>
    <row r="16" spans="2:10" s="3" customFormat="1" x14ac:dyDescent="0.25">
      <c r="B16" s="9" t="s">
        <v>13</v>
      </c>
      <c r="C16" s="76">
        <v>793</v>
      </c>
      <c r="D16" s="10" t="s">
        <v>10</v>
      </c>
      <c r="E16" s="10" t="s">
        <v>14</v>
      </c>
      <c r="F16" s="27">
        <f>прил4.!G441+прил4.!G135+прил4.!G361</f>
        <v>37455014.649999999</v>
      </c>
      <c r="G16" s="27">
        <f>прил4.!H441+прил4.!H135+прил4.!H361</f>
        <v>35719119.170000002</v>
      </c>
      <c r="H16" s="27">
        <f>прил4.!I441+прил4.!I135+прил4.!I361</f>
        <v>35718782.170000002</v>
      </c>
      <c r="I16" s="62"/>
      <c r="J16" s="62"/>
    </row>
    <row r="17" spans="2:11" s="3" customFormat="1" x14ac:dyDescent="0.25">
      <c r="B17" s="47" t="s">
        <v>94</v>
      </c>
      <c r="C17" s="45">
        <v>792</v>
      </c>
      <c r="D17" s="20" t="s">
        <v>19</v>
      </c>
      <c r="E17" s="20"/>
      <c r="F17" s="12">
        <f>F18</f>
        <v>3383267.5</v>
      </c>
      <c r="G17" s="12">
        <f t="shared" ref="G17:H17" si="1">G18</f>
        <v>3713387.5</v>
      </c>
      <c r="H17" s="12">
        <f t="shared" si="1"/>
        <v>3849969</v>
      </c>
      <c r="I17" s="62"/>
      <c r="J17" s="62"/>
    </row>
    <row r="18" spans="2:11" s="3" customFormat="1" x14ac:dyDescent="0.25">
      <c r="B18" s="9" t="s">
        <v>95</v>
      </c>
      <c r="C18" s="45">
        <v>792</v>
      </c>
      <c r="D18" s="10" t="s">
        <v>19</v>
      </c>
      <c r="E18" s="10" t="s">
        <v>49</v>
      </c>
      <c r="F18" s="25">
        <f>прил4.!G485</f>
        <v>3383267.5</v>
      </c>
      <c r="G18" s="25">
        <f>прил4.!H485</f>
        <v>3713387.5</v>
      </c>
      <c r="H18" s="25">
        <f>прил4.!I485</f>
        <v>3849969</v>
      </c>
      <c r="I18" s="62"/>
      <c r="J18" s="62"/>
    </row>
    <row r="19" spans="2:11" s="3" customFormat="1" ht="26.4" x14ac:dyDescent="0.25">
      <c r="B19" s="11" t="s">
        <v>96</v>
      </c>
      <c r="C19" s="6">
        <v>793</v>
      </c>
      <c r="D19" s="7" t="s">
        <v>49</v>
      </c>
      <c r="E19" s="7"/>
      <c r="F19" s="38">
        <f>F20+F22+F21</f>
        <v>2444500</v>
      </c>
      <c r="G19" s="38">
        <f t="shared" ref="G19:H19" si="2">G20+G22+G21</f>
        <v>2454664</v>
      </c>
      <c r="H19" s="38">
        <f t="shared" si="2"/>
        <v>2454664</v>
      </c>
      <c r="I19" s="63">
        <f>прил4.!G165+прил4.!G492</f>
        <v>2444500</v>
      </c>
      <c r="J19" s="62"/>
    </row>
    <row r="20" spans="2:11" s="3" customFormat="1" x14ac:dyDescent="0.25">
      <c r="B20" s="48" t="s">
        <v>296</v>
      </c>
      <c r="C20" s="45">
        <v>793</v>
      </c>
      <c r="D20" s="52" t="s">
        <v>49</v>
      </c>
      <c r="E20" s="52" t="s">
        <v>79</v>
      </c>
      <c r="F20" s="27">
        <f>прил4.!G493</f>
        <v>205000</v>
      </c>
      <c r="G20" s="27">
        <f>прил4.!H493</f>
        <v>0</v>
      </c>
      <c r="H20" s="27">
        <f>прил4.!I493</f>
        <v>0</v>
      </c>
      <c r="I20" s="62"/>
      <c r="J20" s="62"/>
    </row>
    <row r="21" spans="2:11" s="3" customFormat="1" ht="37.5" customHeight="1" x14ac:dyDescent="0.25">
      <c r="B21" s="48" t="s">
        <v>297</v>
      </c>
      <c r="C21" s="45"/>
      <c r="D21" s="52" t="s">
        <v>49</v>
      </c>
      <c r="E21" s="52" t="s">
        <v>48</v>
      </c>
      <c r="F21" s="27">
        <f>прил4.!G498</f>
        <v>1861000</v>
      </c>
      <c r="G21" s="27">
        <f>прил4.!H498</f>
        <v>1963800</v>
      </c>
      <c r="H21" s="27">
        <f>прил4.!I498</f>
        <v>1963800</v>
      </c>
      <c r="I21" s="62"/>
      <c r="J21" s="62"/>
    </row>
    <row r="22" spans="2:11" s="3" customFormat="1" ht="26.4" x14ac:dyDescent="0.25">
      <c r="B22" s="16" t="s">
        <v>207</v>
      </c>
      <c r="C22" s="45"/>
      <c r="D22" s="41" t="s">
        <v>49</v>
      </c>
      <c r="E22" s="41" t="s">
        <v>196</v>
      </c>
      <c r="F22" s="27">
        <f>прил4.!G515+прил4.!G166</f>
        <v>378500</v>
      </c>
      <c r="G22" s="27">
        <f>прил4.!H515+прил4.!H166</f>
        <v>490864</v>
      </c>
      <c r="H22" s="27">
        <f>прил4.!I515+прил4.!I166</f>
        <v>490864</v>
      </c>
      <c r="I22" s="62"/>
      <c r="J22" s="62"/>
    </row>
    <row r="23" spans="2:11" s="3" customFormat="1" x14ac:dyDescent="0.25">
      <c r="B23" s="11" t="s">
        <v>62</v>
      </c>
      <c r="C23" s="6">
        <v>793</v>
      </c>
      <c r="D23" s="7" t="s">
        <v>38</v>
      </c>
      <c r="E23" s="7"/>
      <c r="F23" s="38">
        <f>F24+F25+F26</f>
        <v>85637759.060000002</v>
      </c>
      <c r="G23" s="38">
        <f t="shared" ref="G23:H23" si="3">G24+G25+G26</f>
        <v>80706590.299999997</v>
      </c>
      <c r="H23" s="38">
        <f t="shared" si="3"/>
        <v>96212464.900000006</v>
      </c>
      <c r="I23" s="63" t="e">
        <f>прил4.!G9+прил4.!G145+прил4.!G524+прил4.!#REF!</f>
        <v>#REF!</v>
      </c>
      <c r="J23" s="62"/>
    </row>
    <row r="24" spans="2:11" s="3" customFormat="1" x14ac:dyDescent="0.25">
      <c r="B24" s="53" t="s">
        <v>212</v>
      </c>
      <c r="C24" s="76"/>
      <c r="D24" s="41" t="s">
        <v>38</v>
      </c>
      <c r="E24" s="41" t="s">
        <v>30</v>
      </c>
      <c r="F24" s="25">
        <f>прил4.!G525</f>
        <v>4000000</v>
      </c>
      <c r="G24" s="25">
        <f>прил4.!H525</f>
        <v>4000000</v>
      </c>
      <c r="H24" s="25">
        <f>прил4.!I525</f>
        <v>4000000</v>
      </c>
      <c r="I24" s="62"/>
      <c r="J24" s="62"/>
      <c r="K24" s="99"/>
    </row>
    <row r="25" spans="2:11" s="3" customFormat="1" x14ac:dyDescent="0.25">
      <c r="B25" s="82" t="s">
        <v>97</v>
      </c>
      <c r="C25" s="45">
        <v>792</v>
      </c>
      <c r="D25" s="52" t="s">
        <v>38</v>
      </c>
      <c r="E25" s="52" t="s">
        <v>79</v>
      </c>
      <c r="F25" s="25">
        <f>прил4.!G530</f>
        <v>78842259.060000002</v>
      </c>
      <c r="G25" s="25">
        <f>прил4.!H530</f>
        <v>73861090.299999997</v>
      </c>
      <c r="H25" s="25">
        <f>прил4.!I530</f>
        <v>89366964.900000006</v>
      </c>
      <c r="I25" s="63"/>
      <c r="J25" s="62"/>
      <c r="K25" s="99"/>
    </row>
    <row r="26" spans="2:11" s="3" customFormat="1" x14ac:dyDescent="0.25">
      <c r="B26" s="51" t="s">
        <v>63</v>
      </c>
      <c r="C26" s="76">
        <v>793</v>
      </c>
      <c r="D26" s="52" t="s">
        <v>38</v>
      </c>
      <c r="E26" s="52" t="s">
        <v>64</v>
      </c>
      <c r="F26" s="27">
        <f>прил4.!G540+прил4.!G146+прил4.!G10</f>
        <v>2795500</v>
      </c>
      <c r="G26" s="27">
        <f>прил4.!H540+прил4.!H146+прил4.!H10</f>
        <v>2845500</v>
      </c>
      <c r="H26" s="27">
        <f>прил4.!I540+прил4.!I146+прил4.!I10</f>
        <v>2845500</v>
      </c>
      <c r="I26" s="62"/>
      <c r="J26" s="62"/>
    </row>
    <row r="27" spans="2:11" s="3" customFormat="1" x14ac:dyDescent="0.25">
      <c r="B27" s="54" t="s">
        <v>213</v>
      </c>
      <c r="C27" s="45">
        <v>792</v>
      </c>
      <c r="D27" s="7" t="s">
        <v>98</v>
      </c>
      <c r="E27" s="7"/>
      <c r="F27" s="38">
        <f>F29+F28+F30+F31</f>
        <v>32680983.890000001</v>
      </c>
      <c r="G27" s="38">
        <f t="shared" ref="G27:H27" si="4">G29+G28+G30+G31</f>
        <v>34365007</v>
      </c>
      <c r="H27" s="38">
        <f t="shared" si="4"/>
        <v>35262545</v>
      </c>
      <c r="I27" s="63" t="e">
        <f>прил4.!#REF!+прил4.!#REF!</f>
        <v>#REF!</v>
      </c>
      <c r="J27" s="62"/>
      <c r="K27" s="99"/>
    </row>
    <row r="28" spans="2:11" s="46" customFormat="1" x14ac:dyDescent="0.25">
      <c r="B28" s="67" t="s">
        <v>99</v>
      </c>
      <c r="C28" s="49"/>
      <c r="D28" s="66" t="s">
        <v>98</v>
      </c>
      <c r="E28" s="66" t="s">
        <v>10</v>
      </c>
      <c r="F28" s="29">
        <f>прил4.!G550+прил4.!G155</f>
        <v>7855795</v>
      </c>
      <c r="G28" s="29">
        <f>прил4.!H550+прил4.!H155</f>
        <v>6975795</v>
      </c>
      <c r="H28" s="29">
        <f>прил4.!I550+прил4.!I155</f>
        <v>7215795</v>
      </c>
      <c r="I28" s="58"/>
      <c r="J28" s="58"/>
    </row>
    <row r="29" spans="2:11" s="1" customFormat="1" x14ac:dyDescent="0.25">
      <c r="B29" s="55" t="s">
        <v>100</v>
      </c>
      <c r="C29" s="45"/>
      <c r="D29" s="10" t="s">
        <v>98</v>
      </c>
      <c r="E29" s="10" t="s">
        <v>19</v>
      </c>
      <c r="F29" s="25">
        <f>прил4.!G575</f>
        <v>2752000</v>
      </c>
      <c r="G29" s="25">
        <f>прил4.!H575</f>
        <v>4500000</v>
      </c>
      <c r="H29" s="25">
        <f>прил4.!I575</f>
        <v>4500000</v>
      </c>
      <c r="I29" s="69"/>
      <c r="J29" s="69"/>
    </row>
    <row r="30" spans="2:11" s="3" customFormat="1" x14ac:dyDescent="0.25">
      <c r="B30" s="55" t="s">
        <v>103</v>
      </c>
      <c r="C30" s="45"/>
      <c r="D30" s="10" t="s">
        <v>98</v>
      </c>
      <c r="E30" s="10" t="s">
        <v>49</v>
      </c>
      <c r="F30" s="25">
        <f>прил4.!G592</f>
        <v>21573188.890000001</v>
      </c>
      <c r="G30" s="25">
        <f>прил4.!H592</f>
        <v>22889212</v>
      </c>
      <c r="H30" s="25">
        <f>прил4.!I592</f>
        <v>23546750</v>
      </c>
      <c r="I30" s="25" t="e">
        <f>прил4.!#REF!+прил4.!#REF!+прил4.!J592+прил4.!#REF!+прил4.!#REF!</f>
        <v>#REF!</v>
      </c>
      <c r="J30" s="62"/>
    </row>
    <row r="31" spans="2:11" s="3" customFormat="1" x14ac:dyDescent="0.25">
      <c r="B31" s="55" t="s">
        <v>271</v>
      </c>
      <c r="C31" s="45"/>
      <c r="D31" s="10" t="s">
        <v>98</v>
      </c>
      <c r="E31" s="10" t="s">
        <v>98</v>
      </c>
      <c r="F31" s="25">
        <f>прил4.!G614</f>
        <v>500000</v>
      </c>
      <c r="G31" s="25">
        <f>прил4.!H614</f>
        <v>0</v>
      </c>
      <c r="H31" s="25">
        <f>прил4.!I614</f>
        <v>0</v>
      </c>
      <c r="I31" s="62"/>
      <c r="J31" s="62"/>
    </row>
    <row r="32" spans="2:11" s="3" customFormat="1" x14ac:dyDescent="0.25">
      <c r="B32" s="54" t="s">
        <v>0</v>
      </c>
      <c r="C32" s="45">
        <v>792</v>
      </c>
      <c r="D32" s="7" t="s">
        <v>92</v>
      </c>
      <c r="E32" s="7"/>
      <c r="F32" s="38">
        <f>F33</f>
        <v>8494195.120000001</v>
      </c>
      <c r="G32" s="38">
        <f t="shared" ref="G32:H32" si="5">G33</f>
        <v>8400000</v>
      </c>
      <c r="H32" s="38">
        <f t="shared" si="5"/>
        <v>8400000</v>
      </c>
      <c r="I32" s="63" t="e">
        <f>прил4.!#REF!</f>
        <v>#REF!</v>
      </c>
      <c r="J32" s="62"/>
    </row>
    <row r="33" spans="2:10" s="3" customFormat="1" ht="21" customHeight="1" x14ac:dyDescent="0.25">
      <c r="B33" s="16" t="s">
        <v>219</v>
      </c>
      <c r="C33" s="45"/>
      <c r="D33" s="10" t="s">
        <v>92</v>
      </c>
      <c r="E33" s="10" t="s">
        <v>98</v>
      </c>
      <c r="F33" s="25">
        <f>прил4.!G620</f>
        <v>8494195.120000001</v>
      </c>
      <c r="G33" s="25">
        <f>прил4.!H620</f>
        <v>8400000</v>
      </c>
      <c r="H33" s="25">
        <f>прил4.!I620</f>
        <v>8400000</v>
      </c>
      <c r="I33" s="62"/>
      <c r="J33" s="62"/>
    </row>
    <row r="34" spans="2:10" s="3" customFormat="1" x14ac:dyDescent="0.25">
      <c r="B34" s="11" t="s">
        <v>16</v>
      </c>
      <c r="C34" s="6">
        <v>774</v>
      </c>
      <c r="D34" s="7" t="s">
        <v>17</v>
      </c>
      <c r="E34" s="7"/>
      <c r="F34" s="38">
        <f>F35+F36+F38+F39+F37</f>
        <v>1775739000.5999999</v>
      </c>
      <c r="G34" s="38">
        <f t="shared" ref="G34:H34" si="6">G35+G36+G38+G39+G37</f>
        <v>1825641781.5100002</v>
      </c>
      <c r="H34" s="38">
        <f t="shared" si="6"/>
        <v>1402467353.6999998</v>
      </c>
      <c r="I34" s="63">
        <f>прил4.!G15+прил4.!G171</f>
        <v>1319137497.8499999</v>
      </c>
      <c r="J34" s="62"/>
    </row>
    <row r="35" spans="2:10" s="3" customFormat="1" x14ac:dyDescent="0.25">
      <c r="B35" s="53" t="s">
        <v>65</v>
      </c>
      <c r="C35" s="76">
        <v>774</v>
      </c>
      <c r="D35" s="10" t="s">
        <v>17</v>
      </c>
      <c r="E35" s="10" t="s">
        <v>10</v>
      </c>
      <c r="F35" s="27">
        <f>прил4.!G172</f>
        <v>401537522</v>
      </c>
      <c r="G35" s="27">
        <f>прил4.!H172</f>
        <v>413345094.65000004</v>
      </c>
      <c r="H35" s="27">
        <f>прил4.!I172</f>
        <v>418847097.82999998</v>
      </c>
      <c r="I35" s="62"/>
      <c r="J35" s="62"/>
    </row>
    <row r="36" spans="2:10" s="3" customFormat="1" x14ac:dyDescent="0.25">
      <c r="B36" s="55" t="s">
        <v>18</v>
      </c>
      <c r="C36" s="76">
        <v>774</v>
      </c>
      <c r="D36" s="10" t="s">
        <v>17</v>
      </c>
      <c r="E36" s="10" t="s">
        <v>19</v>
      </c>
      <c r="F36" s="27">
        <f>прил4.!G206+прил4.!G638</f>
        <v>1189479593.48</v>
      </c>
      <c r="G36" s="27">
        <f>прил4.!H206+прил4.!H638</f>
        <v>1216908029.3099999</v>
      </c>
      <c r="H36" s="27">
        <f>прил4.!I206+прил4.!I638</f>
        <v>780968114.83999991</v>
      </c>
      <c r="I36" s="62"/>
      <c r="J36" s="62"/>
    </row>
    <row r="37" spans="2:10" s="3" customFormat="1" x14ac:dyDescent="0.25">
      <c r="B37" s="53" t="s">
        <v>68</v>
      </c>
      <c r="C37" s="76"/>
      <c r="D37" s="10" t="s">
        <v>17</v>
      </c>
      <c r="E37" s="10" t="s">
        <v>49</v>
      </c>
      <c r="F37" s="25">
        <f>прил4.!G16+прил4.!G258</f>
        <v>154622425.08000001</v>
      </c>
      <c r="G37" s="25">
        <f>прил4.!H16+прил4.!H258</f>
        <v>163433407.95000002</v>
      </c>
      <c r="H37" s="25">
        <f>прил4.!I16+прил4.!I258</f>
        <v>169633936.44</v>
      </c>
      <c r="I37" s="62"/>
      <c r="J37" s="62"/>
    </row>
    <row r="38" spans="2:10" s="3" customFormat="1" x14ac:dyDescent="0.25">
      <c r="B38" s="53" t="s">
        <v>180</v>
      </c>
      <c r="C38" s="76">
        <v>774</v>
      </c>
      <c r="D38" s="10" t="s">
        <v>17</v>
      </c>
      <c r="E38" s="10" t="s">
        <v>17</v>
      </c>
      <c r="F38" s="27">
        <f>прил4.!G294+прил4.!G44</f>
        <v>9915116.1999999993</v>
      </c>
      <c r="G38" s="27">
        <f>прил4.!H294+прил4.!H44</f>
        <v>10986020.469999999</v>
      </c>
      <c r="H38" s="27">
        <f>прил4.!I294+прил4.!I44</f>
        <v>11193144.539999999</v>
      </c>
      <c r="I38" s="62"/>
      <c r="J38" s="62"/>
    </row>
    <row r="39" spans="2:10" s="3" customFormat="1" x14ac:dyDescent="0.25">
      <c r="B39" s="53" t="s">
        <v>78</v>
      </c>
      <c r="C39" s="76">
        <v>774</v>
      </c>
      <c r="D39" s="10" t="s">
        <v>17</v>
      </c>
      <c r="E39" s="10" t="s">
        <v>79</v>
      </c>
      <c r="F39" s="27">
        <f>прил4.!G309</f>
        <v>20184343.84</v>
      </c>
      <c r="G39" s="27">
        <f>прил4.!H309</f>
        <v>20969229.129999999</v>
      </c>
      <c r="H39" s="27">
        <f>прил4.!I309</f>
        <v>21825060.049999997</v>
      </c>
      <c r="I39" s="62"/>
      <c r="J39" s="62"/>
    </row>
    <row r="40" spans="2:10" s="3" customFormat="1" x14ac:dyDescent="0.25">
      <c r="B40" s="11" t="s">
        <v>29</v>
      </c>
      <c r="C40" s="76">
        <v>757</v>
      </c>
      <c r="D40" s="7" t="s">
        <v>30</v>
      </c>
      <c r="E40" s="7"/>
      <c r="F40" s="38">
        <f>F41+F42</f>
        <v>197295011.68000001</v>
      </c>
      <c r="G40" s="38">
        <f t="shared" ref="G40:H40" si="7">G41+G42</f>
        <v>203934138.94999999</v>
      </c>
      <c r="H40" s="38">
        <f t="shared" si="7"/>
        <v>211159259.40999997</v>
      </c>
      <c r="I40" s="63">
        <f>прил4.!G49</f>
        <v>197295011.68000001</v>
      </c>
      <c r="J40" s="62"/>
    </row>
    <row r="41" spans="2:10" s="3" customFormat="1" x14ac:dyDescent="0.25">
      <c r="B41" s="53" t="s">
        <v>31</v>
      </c>
      <c r="C41" s="76">
        <v>757</v>
      </c>
      <c r="D41" s="10" t="s">
        <v>30</v>
      </c>
      <c r="E41" s="10" t="s">
        <v>10</v>
      </c>
      <c r="F41" s="25">
        <f>прил4.!G50</f>
        <v>184925884.59999999</v>
      </c>
      <c r="G41" s="25">
        <f>прил4.!H50</f>
        <v>191442204.84</v>
      </c>
      <c r="H41" s="25">
        <f>прил4.!I50</f>
        <v>198524834.01999998</v>
      </c>
      <c r="I41" s="62"/>
      <c r="J41" s="62"/>
    </row>
    <row r="42" spans="2:10" s="3" customFormat="1" ht="13.5" customHeight="1" x14ac:dyDescent="0.25">
      <c r="B42" s="55" t="s">
        <v>37</v>
      </c>
      <c r="C42" s="76">
        <v>757</v>
      </c>
      <c r="D42" s="10" t="s">
        <v>30</v>
      </c>
      <c r="E42" s="10" t="s">
        <v>38</v>
      </c>
      <c r="F42" s="25">
        <f>прил4.!G106</f>
        <v>12369127.08</v>
      </c>
      <c r="G42" s="25">
        <f>прил4.!H106</f>
        <v>12491934.109999999</v>
      </c>
      <c r="H42" s="25">
        <f>прил4.!I106</f>
        <v>12634425.389999999</v>
      </c>
      <c r="I42" s="62"/>
      <c r="J42" s="62"/>
    </row>
    <row r="43" spans="2:10" s="3" customFormat="1" x14ac:dyDescent="0.25">
      <c r="B43" s="11" t="s">
        <v>84</v>
      </c>
      <c r="C43" s="76">
        <v>757</v>
      </c>
      <c r="D43" s="7" t="s">
        <v>48</v>
      </c>
      <c r="E43" s="7"/>
      <c r="F43" s="38">
        <f>F44+F45+F46</f>
        <v>80878472.440000013</v>
      </c>
      <c r="G43" s="38">
        <f>G44+G45+G46</f>
        <v>78705756.600000009</v>
      </c>
      <c r="H43" s="38">
        <f>H44+H45+H46</f>
        <v>78725818.390000001</v>
      </c>
      <c r="I43" s="63" t="e">
        <f>прил4.!#REF!+прил4.!G324+прил4.!G655</f>
        <v>#REF!</v>
      </c>
      <c r="J43" s="62"/>
    </row>
    <row r="44" spans="2:10" s="3" customFormat="1" x14ac:dyDescent="0.25">
      <c r="B44" s="53" t="s">
        <v>85</v>
      </c>
      <c r="C44" s="76">
        <v>774</v>
      </c>
      <c r="D44" s="10" t="s">
        <v>48</v>
      </c>
      <c r="E44" s="10" t="s">
        <v>10</v>
      </c>
      <c r="F44" s="25">
        <f>прил4.!G325+прил4.!G656+прил4.!G367+прил4.!G718</f>
        <v>1596278</v>
      </c>
      <c r="G44" s="25">
        <f>прил4.!H325+прил4.!H656+прил4.!H367+прил4.!H718</f>
        <v>1655260.04</v>
      </c>
      <c r="H44" s="25">
        <f>прил4.!I325+прил4.!I656+прил4.!I367+прил4.!I718</f>
        <v>1703800.48</v>
      </c>
      <c r="I44" s="62"/>
      <c r="J44" s="62"/>
    </row>
    <row r="45" spans="2:10" s="3" customFormat="1" x14ac:dyDescent="0.25">
      <c r="B45" s="53" t="s">
        <v>47</v>
      </c>
      <c r="C45" s="76">
        <v>757</v>
      </c>
      <c r="D45" s="10" t="s">
        <v>48</v>
      </c>
      <c r="E45" s="10" t="s">
        <v>49</v>
      </c>
      <c r="F45" s="25">
        <f>прил4.!G661</f>
        <v>2316720</v>
      </c>
      <c r="G45" s="25">
        <f>прил4.!H661</f>
        <v>2390440</v>
      </c>
      <c r="H45" s="25">
        <f>прил4.!I661</f>
        <v>2485900</v>
      </c>
      <c r="I45" s="63"/>
      <c r="J45" s="62"/>
    </row>
    <row r="46" spans="2:10" s="3" customFormat="1" x14ac:dyDescent="0.25">
      <c r="B46" s="55" t="s">
        <v>90</v>
      </c>
      <c r="C46" s="76">
        <v>774</v>
      </c>
      <c r="D46" s="10" t="s">
        <v>48</v>
      </c>
      <c r="E46" s="10" t="s">
        <v>38</v>
      </c>
      <c r="F46" s="8">
        <f>прил4.!G330+прил4.!G676+прил4.!G114</f>
        <v>76965474.440000013</v>
      </c>
      <c r="G46" s="8">
        <f>прил4.!H330+прил4.!H676+прил4.!H114</f>
        <v>74660056.560000002</v>
      </c>
      <c r="H46" s="8">
        <f>прил4.!I330+прил4.!I676+прил4.!I114</f>
        <v>74536117.909999996</v>
      </c>
      <c r="I46" s="62"/>
      <c r="J46" s="62"/>
    </row>
    <row r="47" spans="2:10" s="3" customFormat="1" x14ac:dyDescent="0.25">
      <c r="B47" s="11" t="s">
        <v>226</v>
      </c>
      <c r="C47" s="6">
        <v>757</v>
      </c>
      <c r="D47" s="7" t="s">
        <v>51</v>
      </c>
      <c r="E47" s="7"/>
      <c r="F47" s="38">
        <f>F49+F48</f>
        <v>315500</v>
      </c>
      <c r="G47" s="38">
        <f t="shared" ref="G47:H47" si="8">G49+G48</f>
        <v>329500</v>
      </c>
      <c r="H47" s="38">
        <f t="shared" si="8"/>
        <v>343500</v>
      </c>
      <c r="I47" s="63" t="e">
        <f>прил4.!#REF!</f>
        <v>#REF!</v>
      </c>
      <c r="J47" s="62"/>
    </row>
    <row r="48" spans="2:10" s="3" customFormat="1" hidden="1" x14ac:dyDescent="0.25">
      <c r="B48" s="102" t="s">
        <v>262</v>
      </c>
      <c r="C48" s="6"/>
      <c r="D48" s="66" t="s">
        <v>51</v>
      </c>
      <c r="E48" s="66" t="s">
        <v>10</v>
      </c>
      <c r="F48" s="29"/>
      <c r="G48" s="29"/>
      <c r="H48" s="29"/>
      <c r="I48" s="63"/>
      <c r="J48" s="62"/>
    </row>
    <row r="49" spans="2:12" s="3" customFormat="1" x14ac:dyDescent="0.25">
      <c r="B49" s="51" t="s">
        <v>50</v>
      </c>
      <c r="C49" s="76">
        <v>757</v>
      </c>
      <c r="D49" s="10" t="s">
        <v>51</v>
      </c>
      <c r="E49" s="10" t="s">
        <v>19</v>
      </c>
      <c r="F49" s="25">
        <f>прил4.!G120</f>
        <v>315500</v>
      </c>
      <c r="G49" s="25">
        <f>прил4.!H120</f>
        <v>329500</v>
      </c>
      <c r="H49" s="25">
        <f>прил4.!I120</f>
        <v>343500</v>
      </c>
      <c r="I49" s="62"/>
      <c r="J49" s="62"/>
    </row>
    <row r="50" spans="2:12" s="3" customFormat="1" ht="26.4" x14ac:dyDescent="0.25">
      <c r="B50" s="54" t="s">
        <v>189</v>
      </c>
      <c r="C50" s="45">
        <v>792</v>
      </c>
      <c r="D50" s="7" t="s">
        <v>14</v>
      </c>
      <c r="E50" s="7"/>
      <c r="F50" s="38">
        <f>F51</f>
        <v>13587294.690000001</v>
      </c>
      <c r="G50" s="38">
        <f>G51</f>
        <v>24939590.68</v>
      </c>
      <c r="H50" s="38">
        <f t="shared" ref="H50" si="9">H51</f>
        <v>29580823.559999999</v>
      </c>
      <c r="I50" s="63" t="e">
        <f>прил4.!G372+прил4.!#REF!</f>
        <v>#REF!</v>
      </c>
      <c r="J50" s="62"/>
    </row>
    <row r="51" spans="2:12" s="3" customFormat="1" ht="26.4" x14ac:dyDescent="0.25">
      <c r="B51" s="55" t="s">
        <v>190</v>
      </c>
      <c r="C51" s="45">
        <v>792</v>
      </c>
      <c r="D51" s="10" t="s">
        <v>14</v>
      </c>
      <c r="E51" s="10" t="s">
        <v>10</v>
      </c>
      <c r="F51" s="25">
        <f>прил4.!G373+прил4.!G691</f>
        <v>13587294.690000001</v>
      </c>
      <c r="G51" s="25">
        <f>прил4.!H373+прил4.!H691</f>
        <v>24939590.68</v>
      </c>
      <c r="H51" s="25">
        <f>прил4.!I373+прил4.!I691</f>
        <v>29580823.559999999</v>
      </c>
      <c r="I51" s="62"/>
      <c r="J51" s="62"/>
    </row>
    <row r="52" spans="2:12" s="3" customFormat="1" x14ac:dyDescent="0.25">
      <c r="B52" s="203" t="s">
        <v>377</v>
      </c>
      <c r="C52" s="183"/>
      <c r="D52" s="124"/>
      <c r="E52" s="124"/>
      <c r="F52" s="88"/>
      <c r="G52" s="88">
        <f>прил4.!H734</f>
        <v>25014506.351499997</v>
      </c>
      <c r="H52" s="88">
        <f>прил4.!I734</f>
        <v>53863032.033500001</v>
      </c>
      <c r="I52" s="153"/>
      <c r="J52" s="153"/>
      <c r="K52" s="122"/>
      <c r="L52" s="122"/>
    </row>
    <row r="53" spans="2:12" s="22" customFormat="1" ht="24" customHeight="1" x14ac:dyDescent="0.25">
      <c r="B53" s="243" t="s">
        <v>231</v>
      </c>
      <c r="C53" s="243"/>
      <c r="D53" s="243"/>
      <c r="E53" s="243"/>
      <c r="F53" s="263">
        <f>F9+F23+F40+F43+F17+F50+F34+F27+F32+F47+F19+F52</f>
        <v>2384814226.8899999</v>
      </c>
      <c r="G53" s="263">
        <f t="shared" ref="G53:H53" si="10">G9+G23+G40+G43+G17+G50+G34+G27+G32+G47+G19+G52</f>
        <v>2473657532.3715005</v>
      </c>
      <c r="H53" s="263">
        <f t="shared" si="10"/>
        <v>2109792879.5834997</v>
      </c>
      <c r="I53" s="158"/>
      <c r="J53" s="158"/>
      <c r="K53" s="106"/>
      <c r="L53" s="106"/>
    </row>
    <row r="54" spans="2:12" hidden="1" x14ac:dyDescent="0.25">
      <c r="B54" s="184"/>
      <c r="C54" s="185"/>
      <c r="D54" s="186"/>
      <c r="E54" s="186"/>
      <c r="F54" s="139">
        <v>875721795.65999997</v>
      </c>
      <c r="G54" s="139">
        <v>875721795.65999997</v>
      </c>
      <c r="H54" s="139">
        <v>875721795.65999997</v>
      </c>
      <c r="I54" s="153"/>
      <c r="J54" s="153"/>
      <c r="K54" s="153"/>
      <c r="L54" s="153"/>
    </row>
    <row r="55" spans="2:12" hidden="1" x14ac:dyDescent="0.25">
      <c r="B55" s="153"/>
      <c r="C55" s="187"/>
      <c r="D55" s="187"/>
      <c r="E55" s="187"/>
      <c r="F55" s="139">
        <f>F53-F54</f>
        <v>1509092431.23</v>
      </c>
      <c r="G55" s="139">
        <f>G53-G54</f>
        <v>1597935736.7115006</v>
      </c>
      <c r="H55" s="139">
        <f>H53-H54</f>
        <v>1234071083.9234996</v>
      </c>
      <c r="I55" s="153"/>
      <c r="J55" s="153"/>
      <c r="K55" s="153"/>
      <c r="L55" s="153"/>
    </row>
    <row r="56" spans="2:12" x14ac:dyDescent="0.25">
      <c r="B56" s="250"/>
      <c r="C56" s="187"/>
      <c r="D56" s="187"/>
      <c r="E56" s="187"/>
      <c r="F56" s="139"/>
      <c r="G56" s="139"/>
      <c r="H56" s="139"/>
      <c r="I56" s="153"/>
      <c r="J56" s="153"/>
      <c r="K56" s="153"/>
      <c r="L56" s="153"/>
    </row>
    <row r="57" spans="2:12" x14ac:dyDescent="0.25">
      <c r="B57" s="153"/>
      <c r="C57" s="187"/>
      <c r="D57" s="187"/>
      <c r="E57" s="187"/>
      <c r="F57" s="139"/>
      <c r="G57" s="139"/>
      <c r="H57" s="139"/>
      <c r="I57" s="153"/>
      <c r="J57" s="153"/>
      <c r="K57" s="153"/>
      <c r="L57" s="153"/>
    </row>
    <row r="58" spans="2:12" x14ac:dyDescent="0.25">
      <c r="B58" s="153"/>
      <c r="C58" s="187"/>
      <c r="D58" s="187"/>
      <c r="E58" s="187"/>
      <c r="F58" s="139"/>
      <c r="G58" s="139"/>
      <c r="H58" s="139"/>
      <c r="I58" s="153"/>
      <c r="J58" s="153"/>
      <c r="K58" s="153"/>
      <c r="L58" s="153"/>
    </row>
    <row r="59" spans="2:12" hidden="1" x14ac:dyDescent="0.25"/>
    <row r="60" spans="2:12" hidden="1" x14ac:dyDescent="0.25"/>
    <row r="61" spans="2:12" hidden="1" x14ac:dyDescent="0.25"/>
    <row r="62" spans="2:12" hidden="1" x14ac:dyDescent="0.25"/>
    <row r="63" spans="2:12" hidden="1" x14ac:dyDescent="0.25"/>
    <row r="64" spans="2:12" hidden="1" x14ac:dyDescent="0.25"/>
    <row r="65" spans="6:8" hidden="1" x14ac:dyDescent="0.25"/>
    <row r="66" spans="6:8" hidden="1" x14ac:dyDescent="0.25"/>
    <row r="67" spans="6:8" hidden="1" x14ac:dyDescent="0.25"/>
    <row r="68" spans="6:8" hidden="1" x14ac:dyDescent="0.25"/>
    <row r="69" spans="6:8" hidden="1" x14ac:dyDescent="0.25"/>
    <row r="70" spans="6:8" hidden="1" x14ac:dyDescent="0.25"/>
    <row r="71" spans="6:8" hidden="1" x14ac:dyDescent="0.25"/>
    <row r="72" spans="6:8" hidden="1" x14ac:dyDescent="0.25"/>
    <row r="73" spans="6:8" hidden="1" x14ac:dyDescent="0.25"/>
    <row r="74" spans="6:8" x14ac:dyDescent="0.25">
      <c r="F74" s="64">
        <f>F53-прил4.!G735</f>
        <v>0</v>
      </c>
      <c r="G74" s="64">
        <f>G53-прил4.!H735</f>
        <v>0</v>
      </c>
      <c r="H74" s="64">
        <f>H53-прил4.!I735</f>
        <v>0</v>
      </c>
    </row>
    <row r="75" spans="6:8" x14ac:dyDescent="0.25">
      <c r="F75" s="64">
        <f>F53-'прил 5'!G559</f>
        <v>0</v>
      </c>
      <c r="G75" s="64">
        <f>G53-'прил 5'!H559</f>
        <v>0</v>
      </c>
      <c r="H75" s="64">
        <f>H53-'прил 5'!I559</f>
        <v>0</v>
      </c>
    </row>
    <row r="78" spans="6:8" x14ac:dyDescent="0.25">
      <c r="F78" s="64">
        <v>1479900426.8900001</v>
      </c>
      <c r="G78" s="64">
        <v>1577083808.97</v>
      </c>
      <c r="H78" s="64">
        <v>1371892004.6199999</v>
      </c>
    </row>
    <row r="80" spans="6:8" x14ac:dyDescent="0.25">
      <c r="F80" s="64">
        <f>F53-F78</f>
        <v>904913799.99999976</v>
      </c>
      <c r="G80" s="64">
        <f t="shared" ref="G80:H80" si="11">G53-G78</f>
        <v>896573723.40150046</v>
      </c>
      <c r="H80" s="64">
        <f t="shared" si="11"/>
        <v>737900874.96349978</v>
      </c>
    </row>
  </sheetData>
  <mergeCells count="11">
    <mergeCell ref="F1:G1"/>
    <mergeCell ref="F2:H2"/>
    <mergeCell ref="B4:B6"/>
    <mergeCell ref="B3:H3"/>
    <mergeCell ref="C5:C6"/>
    <mergeCell ref="F5:F6"/>
    <mergeCell ref="G5:G6"/>
    <mergeCell ref="H5:H6"/>
    <mergeCell ref="F4:H4"/>
    <mergeCell ref="E4:E6"/>
    <mergeCell ref="D4:D6"/>
  </mergeCells>
  <phoneticPr fontId="0" type="noConversion"/>
  <pageMargins left="0.61" right="0.2" top="0.35433070866141736" bottom="0.35433070866141736" header="0.23622047244094491" footer="0.19685039370078741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8"/>
  <sheetViews>
    <sheetView tabSelected="1" topLeftCell="A572" zoomScale="98" zoomScaleNormal="98" zoomScaleSheetLayoutView="75" workbookViewId="0">
      <selection activeCell="G579" sqref="G579"/>
    </sheetView>
  </sheetViews>
  <sheetFormatPr defaultColWidth="9.109375" defaultRowHeight="13.2" x14ac:dyDescent="0.25"/>
  <cols>
    <col min="1" max="1" width="52" style="1" customWidth="1"/>
    <col min="2" max="2" width="6.88671875" style="59" customWidth="1"/>
    <col min="3" max="3" width="4.5546875" style="59" customWidth="1"/>
    <col min="4" max="4" width="4.6640625" style="59" customWidth="1"/>
    <col min="5" max="5" width="16.109375" style="59" customWidth="1"/>
    <col min="6" max="6" width="7.88671875" style="59" customWidth="1"/>
    <col min="7" max="7" width="23.109375" style="60" customWidth="1"/>
    <col min="8" max="9" width="17.5546875" style="60" customWidth="1"/>
    <col min="10" max="10" width="20.33203125" style="139" hidden="1" customWidth="1"/>
    <col min="11" max="11" width="28.109375" style="142" hidden="1" customWidth="1"/>
    <col min="12" max="12" width="17" style="142" hidden="1" customWidth="1"/>
    <col min="13" max="13" width="15" style="142" hidden="1" customWidth="1"/>
    <col min="14" max="14" width="19.6640625" style="142" customWidth="1"/>
    <col min="15" max="15" width="23.6640625" style="142" customWidth="1"/>
    <col min="16" max="16" width="13.88671875" style="142" bestFit="1" customWidth="1"/>
    <col min="17" max="17" width="14.44140625" style="142" bestFit="1" customWidth="1"/>
    <col min="18" max="18" width="15.33203125" style="142" customWidth="1"/>
    <col min="19" max="19" width="16.88671875" style="1" customWidth="1"/>
    <col min="20" max="16384" width="9.109375" style="1"/>
  </cols>
  <sheetData>
    <row r="1" spans="1:18" ht="24" customHeight="1" x14ac:dyDescent="0.25">
      <c r="B1" s="225"/>
      <c r="C1" s="225"/>
      <c r="D1" s="225"/>
      <c r="E1" s="225"/>
      <c r="F1" s="308" t="s">
        <v>418</v>
      </c>
      <c r="G1" s="308"/>
      <c r="H1" s="308"/>
      <c r="I1" s="225"/>
      <c r="J1" s="142"/>
    </row>
    <row r="2" spans="1:18" ht="43.5" customHeight="1" x14ac:dyDescent="0.25">
      <c r="B2" s="225"/>
      <c r="C2" s="225"/>
      <c r="D2" s="225"/>
      <c r="E2" s="225"/>
      <c r="F2" s="299" t="s">
        <v>478</v>
      </c>
      <c r="G2" s="300"/>
      <c r="H2" s="300"/>
      <c r="I2" s="225"/>
      <c r="J2" s="142"/>
    </row>
    <row r="3" spans="1:18" ht="37.5" customHeight="1" x14ac:dyDescent="0.25">
      <c r="A3" s="303" t="s">
        <v>482</v>
      </c>
      <c r="B3" s="303"/>
      <c r="C3" s="303"/>
      <c r="D3" s="303"/>
      <c r="E3" s="303"/>
      <c r="F3" s="303"/>
      <c r="G3" s="303"/>
      <c r="H3" s="304"/>
      <c r="I3" s="304"/>
      <c r="J3" s="143"/>
    </row>
    <row r="4" spans="1:18" ht="33.75" customHeight="1" x14ac:dyDescent="0.25">
      <c r="A4" s="311" t="s">
        <v>3</v>
      </c>
      <c r="B4" s="313" t="s">
        <v>4</v>
      </c>
      <c r="C4" s="313" t="s">
        <v>5</v>
      </c>
      <c r="D4" s="313" t="s">
        <v>6</v>
      </c>
      <c r="E4" s="313" t="s">
        <v>7</v>
      </c>
      <c r="F4" s="313" t="s">
        <v>8</v>
      </c>
      <c r="G4" s="307" t="s">
        <v>232</v>
      </c>
      <c r="H4" s="301"/>
      <c r="I4" s="301"/>
      <c r="J4" s="144"/>
    </row>
    <row r="5" spans="1:18" s="3" customFormat="1" ht="23.25" customHeight="1" x14ac:dyDescent="0.25">
      <c r="A5" s="312"/>
      <c r="B5" s="312"/>
      <c r="C5" s="312"/>
      <c r="D5" s="312"/>
      <c r="E5" s="312"/>
      <c r="F5" s="312"/>
      <c r="G5" s="306" t="s">
        <v>354</v>
      </c>
      <c r="H5" s="306" t="s">
        <v>472</v>
      </c>
      <c r="I5" s="306" t="s">
        <v>481</v>
      </c>
      <c r="J5" s="145"/>
      <c r="K5" s="153"/>
      <c r="L5" s="153"/>
      <c r="M5" s="153"/>
      <c r="N5" s="153"/>
      <c r="O5" s="153"/>
      <c r="P5" s="153"/>
      <c r="Q5" s="153"/>
      <c r="R5" s="153"/>
    </row>
    <row r="6" spans="1:18" s="3" customFormat="1" ht="49.5" customHeight="1" x14ac:dyDescent="0.25">
      <c r="A6" s="312"/>
      <c r="B6" s="312"/>
      <c r="C6" s="312"/>
      <c r="D6" s="312"/>
      <c r="E6" s="312"/>
      <c r="F6" s="312"/>
      <c r="G6" s="306"/>
      <c r="H6" s="306"/>
      <c r="I6" s="306"/>
      <c r="J6" s="145"/>
      <c r="K6" s="153"/>
      <c r="L6" s="153"/>
      <c r="M6" s="153"/>
      <c r="N6" s="153"/>
      <c r="O6" s="153"/>
      <c r="P6" s="153"/>
      <c r="Q6" s="153"/>
      <c r="R6" s="153"/>
    </row>
    <row r="7" spans="1:18" s="3" customFormat="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72">
        <v>7</v>
      </c>
      <c r="H7" s="72">
        <v>8</v>
      </c>
      <c r="I7" s="72">
        <v>9</v>
      </c>
      <c r="J7" s="146"/>
      <c r="K7" s="153"/>
      <c r="L7" s="153"/>
      <c r="M7" s="153"/>
      <c r="N7" s="153"/>
      <c r="O7" s="153"/>
      <c r="P7" s="153"/>
      <c r="Q7" s="153"/>
      <c r="R7" s="153"/>
    </row>
    <row r="8" spans="1:18" s="175" customFormat="1" ht="63" customHeight="1" x14ac:dyDescent="0.25">
      <c r="A8" s="234" t="s">
        <v>405</v>
      </c>
      <c r="B8" s="235">
        <v>757</v>
      </c>
      <c r="C8" s="235"/>
      <c r="D8" s="235"/>
      <c r="E8" s="236"/>
      <c r="F8" s="235"/>
      <c r="G8" s="237"/>
      <c r="H8" s="237"/>
      <c r="I8" s="237"/>
      <c r="J8" s="208"/>
      <c r="K8" s="227"/>
      <c r="L8" s="227"/>
      <c r="M8" s="227"/>
      <c r="N8" s="227"/>
      <c r="O8" s="227"/>
      <c r="P8" s="227"/>
      <c r="Q8" s="227"/>
      <c r="R8" s="227"/>
    </row>
    <row r="9" spans="1:18" x14ac:dyDescent="0.25">
      <c r="A9" s="189" t="s">
        <v>62</v>
      </c>
      <c r="B9" s="190">
        <v>757</v>
      </c>
      <c r="C9" s="191" t="s">
        <v>38</v>
      </c>
      <c r="D9" s="191"/>
      <c r="E9" s="191"/>
      <c r="F9" s="191"/>
      <c r="G9" s="188">
        <f>SUM(G10)</f>
        <v>80500</v>
      </c>
      <c r="H9" s="188">
        <f>SUM(H10)</f>
        <v>80500</v>
      </c>
      <c r="I9" s="188">
        <f>SUM(I10)</f>
        <v>80500</v>
      </c>
      <c r="J9" s="147"/>
      <c r="N9" s="160"/>
    </row>
    <row r="10" spans="1:18" x14ac:dyDescent="0.25">
      <c r="A10" s="78" t="s">
        <v>63</v>
      </c>
      <c r="B10" s="120">
        <v>757</v>
      </c>
      <c r="C10" s="79" t="s">
        <v>38</v>
      </c>
      <c r="D10" s="79" t="s">
        <v>64</v>
      </c>
      <c r="E10" s="79"/>
      <c r="F10" s="79"/>
      <c r="G10" s="81">
        <f>G11</f>
        <v>80500</v>
      </c>
      <c r="H10" s="81">
        <f>H11</f>
        <v>80500</v>
      </c>
      <c r="I10" s="81">
        <f>I11</f>
        <v>80500</v>
      </c>
      <c r="J10" s="137"/>
    </row>
    <row r="11" spans="1:18" s="32" customFormat="1" ht="29.25" customHeight="1" x14ac:dyDescent="0.25">
      <c r="A11" s="30" t="s">
        <v>363</v>
      </c>
      <c r="B11" s="120">
        <v>757</v>
      </c>
      <c r="C11" s="79" t="s">
        <v>38</v>
      </c>
      <c r="D11" s="79" t="s">
        <v>64</v>
      </c>
      <c r="E11" s="79" t="s">
        <v>119</v>
      </c>
      <c r="F11" s="79"/>
      <c r="G11" s="81">
        <f>G12</f>
        <v>80500</v>
      </c>
      <c r="H11" s="81">
        <f t="shared" ref="H11:I11" si="0">H12</f>
        <v>80500</v>
      </c>
      <c r="I11" s="81">
        <f t="shared" si="0"/>
        <v>80500</v>
      </c>
      <c r="J11" s="137"/>
      <c r="K11" s="155"/>
      <c r="L11" s="155"/>
      <c r="M11" s="155"/>
      <c r="N11" s="155"/>
      <c r="O11" s="155"/>
      <c r="P11" s="155"/>
      <c r="Q11" s="155"/>
      <c r="R11" s="155"/>
    </row>
    <row r="12" spans="1:18" s="32" customFormat="1" ht="27.75" customHeight="1" x14ac:dyDescent="0.25">
      <c r="A12" s="30" t="s">
        <v>391</v>
      </c>
      <c r="B12" s="120">
        <v>757</v>
      </c>
      <c r="C12" s="79" t="s">
        <v>38</v>
      </c>
      <c r="D12" s="79" t="s">
        <v>64</v>
      </c>
      <c r="E12" s="79" t="s">
        <v>120</v>
      </c>
      <c r="F12" s="79"/>
      <c r="G12" s="81">
        <f>G13</f>
        <v>80500</v>
      </c>
      <c r="H12" s="81">
        <f t="shared" ref="H12:I12" si="1">H13</f>
        <v>80500</v>
      </c>
      <c r="I12" s="81">
        <f t="shared" si="1"/>
        <v>80500</v>
      </c>
      <c r="J12" s="137"/>
      <c r="K12" s="155"/>
      <c r="L12" s="155"/>
      <c r="M12" s="155"/>
      <c r="N12" s="155"/>
      <c r="O12" s="155"/>
      <c r="P12" s="155"/>
      <c r="Q12" s="155"/>
      <c r="R12" s="155"/>
    </row>
    <row r="13" spans="1:18" ht="26.4" x14ac:dyDescent="0.25">
      <c r="A13" s="16" t="s">
        <v>21</v>
      </c>
      <c r="B13" s="120">
        <v>757</v>
      </c>
      <c r="C13" s="79" t="s">
        <v>38</v>
      </c>
      <c r="D13" s="79" t="s">
        <v>64</v>
      </c>
      <c r="E13" s="79" t="s">
        <v>120</v>
      </c>
      <c r="F13" s="79" t="s">
        <v>22</v>
      </c>
      <c r="G13" s="80">
        <f t="shared" ref="G13:I13" si="2">G14</f>
        <v>80500</v>
      </c>
      <c r="H13" s="80">
        <f t="shared" si="2"/>
        <v>80500</v>
      </c>
      <c r="I13" s="80">
        <f t="shared" si="2"/>
        <v>80500</v>
      </c>
      <c r="J13" s="138"/>
    </row>
    <row r="14" spans="1:18" ht="18" customHeight="1" x14ac:dyDescent="0.25">
      <c r="A14" s="16" t="s">
        <v>23</v>
      </c>
      <c r="B14" s="120">
        <v>757</v>
      </c>
      <c r="C14" s="79" t="s">
        <v>38</v>
      </c>
      <c r="D14" s="79" t="s">
        <v>64</v>
      </c>
      <c r="E14" s="79" t="s">
        <v>120</v>
      </c>
      <c r="F14" s="79" t="s">
        <v>24</v>
      </c>
      <c r="G14" s="80">
        <v>80500</v>
      </c>
      <c r="H14" s="80">
        <v>80500</v>
      </c>
      <c r="I14" s="80">
        <v>80500</v>
      </c>
      <c r="J14" s="138"/>
    </row>
    <row r="15" spans="1:18" ht="16.5" customHeight="1" x14ac:dyDescent="0.25">
      <c r="A15" s="11" t="s">
        <v>16</v>
      </c>
      <c r="B15" s="191">
        <v>757</v>
      </c>
      <c r="C15" s="191" t="s">
        <v>17</v>
      </c>
      <c r="D15" s="191"/>
      <c r="E15" s="191"/>
      <c r="F15" s="191"/>
      <c r="G15" s="248">
        <f>G16+G44</f>
        <v>38495840.490000002</v>
      </c>
      <c r="H15" s="248">
        <f t="shared" ref="H15:I15" si="3">H16+H44</f>
        <v>41430442.920000002</v>
      </c>
      <c r="I15" s="248">
        <f t="shared" si="3"/>
        <v>43520513.809999995</v>
      </c>
      <c r="J15" s="148"/>
      <c r="N15" s="160"/>
    </row>
    <row r="16" spans="1:18" ht="18.75" customHeight="1" x14ac:dyDescent="0.25">
      <c r="A16" s="16" t="s">
        <v>68</v>
      </c>
      <c r="B16" s="120">
        <v>757</v>
      </c>
      <c r="C16" s="79" t="s">
        <v>17</v>
      </c>
      <c r="D16" s="79" t="s">
        <v>49</v>
      </c>
      <c r="E16" s="79"/>
      <c r="F16" s="120"/>
      <c r="G16" s="81">
        <f>G17+G39</f>
        <v>38279340.490000002</v>
      </c>
      <c r="H16" s="81">
        <f t="shared" ref="H16:I16" si="4">H17+H39</f>
        <v>41205282.920000002</v>
      </c>
      <c r="I16" s="81">
        <f t="shared" si="4"/>
        <v>43286013.809999995</v>
      </c>
      <c r="J16" s="137"/>
      <c r="N16" s="160"/>
      <c r="O16" s="160"/>
    </row>
    <row r="17" spans="1:20" ht="35.25" customHeight="1" x14ac:dyDescent="0.25">
      <c r="A17" s="16" t="s">
        <v>365</v>
      </c>
      <c r="B17" s="120">
        <v>757</v>
      </c>
      <c r="C17" s="79" t="s">
        <v>17</v>
      </c>
      <c r="D17" s="79" t="s">
        <v>49</v>
      </c>
      <c r="E17" s="79" t="s">
        <v>111</v>
      </c>
      <c r="F17" s="79"/>
      <c r="G17" s="81">
        <f>G18+G21+G24+G27+G30+G33+G36</f>
        <v>35594296.039999999</v>
      </c>
      <c r="H17" s="81">
        <f t="shared" ref="H17:I17" si="5">H18+H21+H24+H27+H30+H33+H36</f>
        <v>37409344.590000004</v>
      </c>
      <c r="I17" s="81">
        <f t="shared" si="5"/>
        <v>39256677.939999998</v>
      </c>
      <c r="J17" s="137"/>
      <c r="N17" s="160"/>
      <c r="Q17" s="160"/>
    </row>
    <row r="18" spans="1:20" ht="26.4" x14ac:dyDescent="0.25">
      <c r="A18" s="78" t="s">
        <v>20</v>
      </c>
      <c r="B18" s="120">
        <v>757</v>
      </c>
      <c r="C18" s="79" t="s">
        <v>17</v>
      </c>
      <c r="D18" s="79" t="s">
        <v>49</v>
      </c>
      <c r="E18" s="79" t="s">
        <v>112</v>
      </c>
      <c r="F18" s="79"/>
      <c r="G18" s="81">
        <f>G19</f>
        <v>35311035.280000001</v>
      </c>
      <c r="H18" s="81">
        <f t="shared" ref="H18:I18" si="6">H19</f>
        <v>37046344.590000004</v>
      </c>
      <c r="I18" s="81">
        <f t="shared" si="6"/>
        <v>38893677.939999998</v>
      </c>
      <c r="J18" s="137"/>
    </row>
    <row r="19" spans="1:20" ht="26.4" x14ac:dyDescent="0.25">
      <c r="A19" s="78" t="s">
        <v>21</v>
      </c>
      <c r="B19" s="120">
        <v>757</v>
      </c>
      <c r="C19" s="79" t="s">
        <v>17</v>
      </c>
      <c r="D19" s="79" t="s">
        <v>49</v>
      </c>
      <c r="E19" s="79" t="s">
        <v>112</v>
      </c>
      <c r="F19" s="79" t="s">
        <v>22</v>
      </c>
      <c r="G19" s="81">
        <f>G20</f>
        <v>35311035.280000001</v>
      </c>
      <c r="H19" s="81">
        <f>H20</f>
        <v>37046344.590000004</v>
      </c>
      <c r="I19" s="81">
        <f>I20</f>
        <v>38893677.939999998</v>
      </c>
      <c r="J19" s="137"/>
    </row>
    <row r="20" spans="1:20" ht="19.5" customHeight="1" x14ac:dyDescent="0.25">
      <c r="A20" s="78" t="s">
        <v>23</v>
      </c>
      <c r="B20" s="120">
        <v>757</v>
      </c>
      <c r="C20" s="79" t="s">
        <v>17</v>
      </c>
      <c r="D20" s="79" t="s">
        <v>49</v>
      </c>
      <c r="E20" s="79" t="s">
        <v>112</v>
      </c>
      <c r="F20" s="79" t="s">
        <v>24</v>
      </c>
      <c r="G20" s="70">
        <v>35311035.280000001</v>
      </c>
      <c r="H20" s="70">
        <v>37046344.590000004</v>
      </c>
      <c r="I20" s="70">
        <v>38893677.939999998</v>
      </c>
      <c r="J20" s="137"/>
    </row>
    <row r="21" spans="1:20" ht="39.6" x14ac:dyDescent="0.25">
      <c r="A21" s="78" t="s">
        <v>550</v>
      </c>
      <c r="B21" s="14">
        <v>757</v>
      </c>
      <c r="C21" s="15" t="s">
        <v>17</v>
      </c>
      <c r="D21" s="15" t="s">
        <v>49</v>
      </c>
      <c r="E21" s="15" t="s">
        <v>551</v>
      </c>
      <c r="F21" s="15"/>
      <c r="G21" s="70">
        <f>G22</f>
        <v>130000</v>
      </c>
      <c r="H21" s="70">
        <f t="shared" ref="H21:I21" si="7">H22</f>
        <v>130000</v>
      </c>
      <c r="I21" s="70">
        <f t="shared" si="7"/>
        <v>130000</v>
      </c>
      <c r="J21" s="1"/>
      <c r="K21" s="1"/>
      <c r="L21" s="1"/>
      <c r="M21" s="1"/>
      <c r="N21" s="1"/>
      <c r="O21" s="1"/>
      <c r="P21" s="2"/>
      <c r="Q21" s="2"/>
      <c r="R21" s="2"/>
      <c r="S21" s="2"/>
      <c r="T21" s="2"/>
    </row>
    <row r="22" spans="1:20" ht="26.4" x14ac:dyDescent="0.25">
      <c r="A22" s="78" t="s">
        <v>21</v>
      </c>
      <c r="B22" s="14">
        <v>757</v>
      </c>
      <c r="C22" s="15" t="s">
        <v>17</v>
      </c>
      <c r="D22" s="15" t="s">
        <v>49</v>
      </c>
      <c r="E22" s="15" t="s">
        <v>551</v>
      </c>
      <c r="F22" s="15" t="s">
        <v>22</v>
      </c>
      <c r="G22" s="70">
        <f>G23</f>
        <v>130000</v>
      </c>
      <c r="H22" s="70">
        <f>H23</f>
        <v>130000</v>
      </c>
      <c r="I22" s="70">
        <f>I23</f>
        <v>130000</v>
      </c>
      <c r="J22" s="1"/>
      <c r="K22" s="1"/>
      <c r="L22" s="1"/>
      <c r="M22" s="1"/>
      <c r="N22" s="1"/>
      <c r="O22" s="1"/>
      <c r="P22" s="2"/>
      <c r="Q22" s="2"/>
      <c r="R22" s="2"/>
      <c r="S22" s="2"/>
      <c r="T22" s="2"/>
    </row>
    <row r="23" spans="1:20" ht="19.5" customHeight="1" x14ac:dyDescent="0.25">
      <c r="A23" s="78" t="s">
        <v>23</v>
      </c>
      <c r="B23" s="14">
        <v>757</v>
      </c>
      <c r="C23" s="15" t="s">
        <v>17</v>
      </c>
      <c r="D23" s="15" t="s">
        <v>49</v>
      </c>
      <c r="E23" s="15" t="s">
        <v>551</v>
      </c>
      <c r="F23" s="15" t="s">
        <v>24</v>
      </c>
      <c r="G23" s="70">
        <v>130000</v>
      </c>
      <c r="H23" s="70">
        <v>130000</v>
      </c>
      <c r="I23" s="70">
        <v>130000</v>
      </c>
      <c r="J23" s="1"/>
      <c r="K23" s="1"/>
      <c r="L23" s="1"/>
      <c r="M23" s="1"/>
      <c r="N23" s="1"/>
      <c r="O23" s="1"/>
      <c r="P23" s="2"/>
      <c r="Q23" s="2"/>
      <c r="R23" s="2"/>
      <c r="S23" s="2"/>
      <c r="T23" s="2"/>
    </row>
    <row r="24" spans="1:20" x14ac:dyDescent="0.25">
      <c r="A24" s="78" t="s">
        <v>305</v>
      </c>
      <c r="B24" s="120">
        <v>757</v>
      </c>
      <c r="C24" s="79" t="s">
        <v>17</v>
      </c>
      <c r="D24" s="79" t="s">
        <v>49</v>
      </c>
      <c r="E24" s="79" t="s">
        <v>304</v>
      </c>
      <c r="F24" s="79"/>
      <c r="G24" s="70">
        <f>G25</f>
        <v>147959.18</v>
      </c>
      <c r="H24" s="70">
        <f t="shared" ref="H24:I24" si="8">H25</f>
        <v>225000</v>
      </c>
      <c r="I24" s="70">
        <f t="shared" si="8"/>
        <v>225000</v>
      </c>
      <c r="J24" s="137"/>
    </row>
    <row r="25" spans="1:20" ht="26.4" x14ac:dyDescent="0.25">
      <c r="A25" s="78" t="s">
        <v>21</v>
      </c>
      <c r="B25" s="120">
        <v>757</v>
      </c>
      <c r="C25" s="79" t="s">
        <v>17</v>
      </c>
      <c r="D25" s="79" t="s">
        <v>49</v>
      </c>
      <c r="E25" s="79" t="s">
        <v>304</v>
      </c>
      <c r="F25" s="79" t="s">
        <v>22</v>
      </c>
      <c r="G25" s="70">
        <f>G26</f>
        <v>147959.18</v>
      </c>
      <c r="H25" s="70">
        <f>H26</f>
        <v>225000</v>
      </c>
      <c r="I25" s="70">
        <f>I26</f>
        <v>225000</v>
      </c>
      <c r="J25" s="137"/>
    </row>
    <row r="26" spans="1:20" ht="19.5" customHeight="1" x14ac:dyDescent="0.25">
      <c r="A26" s="78" t="s">
        <v>23</v>
      </c>
      <c r="B26" s="120">
        <v>757</v>
      </c>
      <c r="C26" s="79" t="s">
        <v>17</v>
      </c>
      <c r="D26" s="79" t="s">
        <v>49</v>
      </c>
      <c r="E26" s="79" t="s">
        <v>304</v>
      </c>
      <c r="F26" s="79" t="s">
        <v>24</v>
      </c>
      <c r="G26" s="70">
        <v>147959.18</v>
      </c>
      <c r="H26" s="70">
        <v>225000</v>
      </c>
      <c r="I26" s="70">
        <v>225000</v>
      </c>
      <c r="J26" s="137"/>
    </row>
    <row r="27" spans="1:20" ht="39.6" hidden="1" x14ac:dyDescent="0.25">
      <c r="A27" s="78" t="s">
        <v>307</v>
      </c>
      <c r="B27" s="120">
        <v>757</v>
      </c>
      <c r="C27" s="79" t="s">
        <v>17</v>
      </c>
      <c r="D27" s="79" t="s">
        <v>49</v>
      </c>
      <c r="E27" s="79" t="s">
        <v>306</v>
      </c>
      <c r="F27" s="79"/>
      <c r="G27" s="70">
        <f>G28</f>
        <v>0</v>
      </c>
      <c r="H27" s="70">
        <f t="shared" ref="H27:I27" si="9">H28</f>
        <v>0</v>
      </c>
      <c r="I27" s="70">
        <f t="shared" si="9"/>
        <v>0</v>
      </c>
      <c r="J27" s="137"/>
    </row>
    <row r="28" spans="1:20" ht="26.4" hidden="1" x14ac:dyDescent="0.25">
      <c r="A28" s="78" t="s">
        <v>21</v>
      </c>
      <c r="B28" s="120">
        <v>757</v>
      </c>
      <c r="C28" s="79" t="s">
        <v>17</v>
      </c>
      <c r="D28" s="79" t="s">
        <v>49</v>
      </c>
      <c r="E28" s="79" t="s">
        <v>306</v>
      </c>
      <c r="F28" s="79" t="s">
        <v>22</v>
      </c>
      <c r="G28" s="70">
        <f>G29</f>
        <v>0</v>
      </c>
      <c r="H28" s="70">
        <f>H29</f>
        <v>0</v>
      </c>
      <c r="I28" s="70">
        <f>I29</f>
        <v>0</v>
      </c>
      <c r="J28" s="137"/>
    </row>
    <row r="29" spans="1:20" ht="19.5" hidden="1" customHeight="1" x14ac:dyDescent="0.25">
      <c r="A29" s="78" t="s">
        <v>23</v>
      </c>
      <c r="B29" s="120">
        <v>757</v>
      </c>
      <c r="C29" s="79" t="s">
        <v>17</v>
      </c>
      <c r="D29" s="79" t="s">
        <v>49</v>
      </c>
      <c r="E29" s="79" t="s">
        <v>306</v>
      </c>
      <c r="F29" s="79" t="s">
        <v>24</v>
      </c>
      <c r="G29" s="70"/>
      <c r="H29" s="70">
        <v>0</v>
      </c>
      <c r="I29" s="70">
        <v>0</v>
      </c>
      <c r="J29" s="137"/>
    </row>
    <row r="30" spans="1:20" ht="26.4" hidden="1" x14ac:dyDescent="0.25">
      <c r="A30" s="78" t="s">
        <v>392</v>
      </c>
      <c r="B30" s="120">
        <v>757</v>
      </c>
      <c r="C30" s="79" t="s">
        <v>17</v>
      </c>
      <c r="D30" s="79" t="s">
        <v>49</v>
      </c>
      <c r="E30" s="79" t="s">
        <v>312</v>
      </c>
      <c r="F30" s="79"/>
      <c r="G30" s="70">
        <f>G31</f>
        <v>0</v>
      </c>
      <c r="H30" s="81">
        <f t="shared" ref="H30:I30" si="10">H31</f>
        <v>0</v>
      </c>
      <c r="I30" s="81">
        <f t="shared" si="10"/>
        <v>0</v>
      </c>
      <c r="J30" s="137"/>
    </row>
    <row r="31" spans="1:20" ht="26.4" hidden="1" x14ac:dyDescent="0.25">
      <c r="A31" s="78" t="s">
        <v>21</v>
      </c>
      <c r="B31" s="120">
        <v>757</v>
      </c>
      <c r="C31" s="79" t="s">
        <v>17</v>
      </c>
      <c r="D31" s="79" t="s">
        <v>49</v>
      </c>
      <c r="E31" s="79" t="s">
        <v>312</v>
      </c>
      <c r="F31" s="79" t="s">
        <v>22</v>
      </c>
      <c r="G31" s="70">
        <f>G32</f>
        <v>0</v>
      </c>
      <c r="H31" s="81">
        <f>H32</f>
        <v>0</v>
      </c>
      <c r="I31" s="81">
        <f>I32</f>
        <v>0</v>
      </c>
      <c r="J31" s="137"/>
    </row>
    <row r="32" spans="1:20" ht="19.5" hidden="1" customHeight="1" x14ac:dyDescent="0.25">
      <c r="A32" s="78" t="s">
        <v>23</v>
      </c>
      <c r="B32" s="120">
        <v>757</v>
      </c>
      <c r="C32" s="79" t="s">
        <v>17</v>
      </c>
      <c r="D32" s="79" t="s">
        <v>49</v>
      </c>
      <c r="E32" s="79" t="s">
        <v>312</v>
      </c>
      <c r="F32" s="79" t="s">
        <v>24</v>
      </c>
      <c r="G32" s="70"/>
      <c r="H32" s="81"/>
      <c r="I32" s="81"/>
      <c r="J32" s="137"/>
    </row>
    <row r="33" spans="1:20" ht="45.75" hidden="1" customHeight="1" x14ac:dyDescent="0.25">
      <c r="A33" s="78" t="s">
        <v>468</v>
      </c>
      <c r="B33" s="120">
        <v>757</v>
      </c>
      <c r="C33" s="79" t="s">
        <v>17</v>
      </c>
      <c r="D33" s="79" t="s">
        <v>49</v>
      </c>
      <c r="E33" s="79" t="s">
        <v>308</v>
      </c>
      <c r="F33" s="79"/>
      <c r="G33" s="70">
        <f>G34</f>
        <v>0</v>
      </c>
      <c r="H33" s="81">
        <f t="shared" ref="H33:I33" si="11">H34</f>
        <v>0</v>
      </c>
      <c r="I33" s="81">
        <f t="shared" si="11"/>
        <v>0</v>
      </c>
      <c r="J33" s="137"/>
    </row>
    <row r="34" spans="1:20" ht="26.4" hidden="1" x14ac:dyDescent="0.25">
      <c r="A34" s="78" t="s">
        <v>21</v>
      </c>
      <c r="B34" s="120">
        <v>757</v>
      </c>
      <c r="C34" s="79" t="s">
        <v>17</v>
      </c>
      <c r="D34" s="79" t="s">
        <v>49</v>
      </c>
      <c r="E34" s="79" t="s">
        <v>308</v>
      </c>
      <c r="F34" s="79" t="s">
        <v>22</v>
      </c>
      <c r="G34" s="70">
        <f>G35</f>
        <v>0</v>
      </c>
      <c r="H34" s="81">
        <f>H35</f>
        <v>0</v>
      </c>
      <c r="I34" s="81">
        <f>I35</f>
        <v>0</v>
      </c>
      <c r="J34" s="137"/>
    </row>
    <row r="35" spans="1:20" ht="19.5" hidden="1" customHeight="1" x14ac:dyDescent="0.25">
      <c r="A35" s="78" t="s">
        <v>23</v>
      </c>
      <c r="B35" s="120">
        <v>757</v>
      </c>
      <c r="C35" s="79" t="s">
        <v>17</v>
      </c>
      <c r="D35" s="79" t="s">
        <v>49</v>
      </c>
      <c r="E35" s="79" t="s">
        <v>308</v>
      </c>
      <c r="F35" s="79" t="s">
        <v>24</v>
      </c>
      <c r="G35" s="70"/>
      <c r="H35" s="81"/>
      <c r="I35" s="81"/>
      <c r="J35" s="137"/>
    </row>
    <row r="36" spans="1:20" ht="26.4" x14ac:dyDescent="0.25">
      <c r="A36" s="78" t="s">
        <v>311</v>
      </c>
      <c r="B36" s="120">
        <v>757</v>
      </c>
      <c r="C36" s="79" t="s">
        <v>17</v>
      </c>
      <c r="D36" s="79" t="s">
        <v>49</v>
      </c>
      <c r="E36" s="79" t="s">
        <v>310</v>
      </c>
      <c r="F36" s="79"/>
      <c r="G36" s="70">
        <f>G37</f>
        <v>5301.58</v>
      </c>
      <c r="H36" s="81">
        <f t="shared" ref="H36:I36" si="12">H37</f>
        <v>8000</v>
      </c>
      <c r="I36" s="81">
        <f t="shared" si="12"/>
        <v>8000</v>
      </c>
      <c r="J36" s="137"/>
    </row>
    <row r="37" spans="1:20" ht="26.4" x14ac:dyDescent="0.25">
      <c r="A37" s="78" t="s">
        <v>21</v>
      </c>
      <c r="B37" s="120">
        <v>757</v>
      </c>
      <c r="C37" s="79" t="s">
        <v>17</v>
      </c>
      <c r="D37" s="79" t="s">
        <v>49</v>
      </c>
      <c r="E37" s="79" t="s">
        <v>310</v>
      </c>
      <c r="F37" s="79" t="s">
        <v>22</v>
      </c>
      <c r="G37" s="70">
        <f>G38</f>
        <v>5301.58</v>
      </c>
      <c r="H37" s="81">
        <f>H38</f>
        <v>8000</v>
      </c>
      <c r="I37" s="81">
        <f>I38</f>
        <v>8000</v>
      </c>
      <c r="J37" s="137"/>
    </row>
    <row r="38" spans="1:20" ht="19.5" customHeight="1" x14ac:dyDescent="0.25">
      <c r="A38" s="78" t="s">
        <v>23</v>
      </c>
      <c r="B38" s="120">
        <v>757</v>
      </c>
      <c r="C38" s="79" t="s">
        <v>17</v>
      </c>
      <c r="D38" s="79" t="s">
        <v>49</v>
      </c>
      <c r="E38" s="79" t="s">
        <v>310</v>
      </c>
      <c r="F38" s="79" t="s">
        <v>24</v>
      </c>
      <c r="G38" s="70">
        <v>5301.58</v>
      </c>
      <c r="H38" s="81">
        <v>8000</v>
      </c>
      <c r="I38" s="81">
        <v>8000</v>
      </c>
      <c r="J38" s="137"/>
    </row>
    <row r="39" spans="1:20" ht="32.25" customHeight="1" x14ac:dyDescent="0.25">
      <c r="A39" s="16" t="s">
        <v>362</v>
      </c>
      <c r="B39" s="120">
        <v>757</v>
      </c>
      <c r="C39" s="79" t="s">
        <v>17</v>
      </c>
      <c r="D39" s="79" t="s">
        <v>49</v>
      </c>
      <c r="E39" s="79" t="s">
        <v>240</v>
      </c>
      <c r="F39" s="79"/>
      <c r="G39" s="81">
        <f>G40</f>
        <v>2685044.45</v>
      </c>
      <c r="H39" s="81">
        <f>H41</f>
        <v>3795938.33</v>
      </c>
      <c r="I39" s="81">
        <f>I41</f>
        <v>4029335.87</v>
      </c>
      <c r="J39" s="137"/>
    </row>
    <row r="40" spans="1:20" ht="49.5" customHeight="1" x14ac:dyDescent="0.25">
      <c r="A40" s="16" t="s">
        <v>386</v>
      </c>
      <c r="B40" s="120">
        <v>757</v>
      </c>
      <c r="C40" s="79" t="s">
        <v>17</v>
      </c>
      <c r="D40" s="79" t="s">
        <v>49</v>
      </c>
      <c r="E40" s="79" t="s">
        <v>448</v>
      </c>
      <c r="F40" s="79"/>
      <c r="G40" s="81">
        <f t="shared" ref="G40:I42" si="13">G41</f>
        <v>2685044.45</v>
      </c>
      <c r="H40" s="81">
        <f t="shared" si="13"/>
        <v>3795938.33</v>
      </c>
      <c r="I40" s="81">
        <f t="shared" si="13"/>
        <v>4029335.87</v>
      </c>
      <c r="J40" s="137"/>
    </row>
    <row r="41" spans="1:20" ht="120.75" customHeight="1" x14ac:dyDescent="0.25">
      <c r="A41" s="95" t="s">
        <v>495</v>
      </c>
      <c r="B41" s="120">
        <v>757</v>
      </c>
      <c r="C41" s="79" t="s">
        <v>17</v>
      </c>
      <c r="D41" s="79" t="s">
        <v>49</v>
      </c>
      <c r="E41" s="79" t="s">
        <v>447</v>
      </c>
      <c r="F41" s="79"/>
      <c r="G41" s="81">
        <f t="shared" si="13"/>
        <v>2685044.45</v>
      </c>
      <c r="H41" s="81">
        <f t="shared" si="13"/>
        <v>3795938.33</v>
      </c>
      <c r="I41" s="81">
        <f t="shared" si="13"/>
        <v>4029335.87</v>
      </c>
      <c r="J41" s="137"/>
    </row>
    <row r="42" spans="1:20" ht="26.4" x14ac:dyDescent="0.25">
      <c r="A42" s="16" t="s">
        <v>21</v>
      </c>
      <c r="B42" s="120">
        <v>757</v>
      </c>
      <c r="C42" s="79" t="s">
        <v>17</v>
      </c>
      <c r="D42" s="79" t="s">
        <v>49</v>
      </c>
      <c r="E42" s="79" t="s">
        <v>447</v>
      </c>
      <c r="F42" s="79" t="s">
        <v>22</v>
      </c>
      <c r="G42" s="81">
        <f t="shared" si="13"/>
        <v>2685044.45</v>
      </c>
      <c r="H42" s="81">
        <f t="shared" si="13"/>
        <v>3795938.33</v>
      </c>
      <c r="I42" s="81">
        <f t="shared" si="13"/>
        <v>4029335.87</v>
      </c>
      <c r="J42" s="137"/>
    </row>
    <row r="43" spans="1:20" ht="19.5" customHeight="1" x14ac:dyDescent="0.25">
      <c r="A43" s="16" t="s">
        <v>23</v>
      </c>
      <c r="B43" s="120">
        <v>757</v>
      </c>
      <c r="C43" s="79" t="s">
        <v>17</v>
      </c>
      <c r="D43" s="79" t="s">
        <v>49</v>
      </c>
      <c r="E43" s="79" t="s">
        <v>447</v>
      </c>
      <c r="F43" s="79" t="s">
        <v>24</v>
      </c>
      <c r="G43" s="81">
        <v>2685044.45</v>
      </c>
      <c r="H43" s="81">
        <v>3795938.33</v>
      </c>
      <c r="I43" s="81">
        <v>4029335.87</v>
      </c>
      <c r="J43" s="137"/>
    </row>
    <row r="44" spans="1:20" ht="14.25" customHeight="1" x14ac:dyDescent="0.25">
      <c r="A44" s="16" t="s">
        <v>180</v>
      </c>
      <c r="B44" s="120">
        <v>757</v>
      </c>
      <c r="C44" s="79" t="s">
        <v>17</v>
      </c>
      <c r="D44" s="79" t="s">
        <v>17</v>
      </c>
      <c r="E44" s="79"/>
      <c r="F44" s="120"/>
      <c r="G44" s="81">
        <f>G45</f>
        <v>216500</v>
      </c>
      <c r="H44" s="81">
        <f t="shared" ref="H44:I44" si="14">H45</f>
        <v>225160</v>
      </c>
      <c r="I44" s="81">
        <f t="shared" si="14"/>
        <v>234500</v>
      </c>
      <c r="J44" s="137"/>
      <c r="S44" s="69"/>
      <c r="T44" s="69"/>
    </row>
    <row r="45" spans="1:20" s="18" customFormat="1" ht="29.25" customHeight="1" x14ac:dyDescent="0.25">
      <c r="A45" s="16" t="s">
        <v>368</v>
      </c>
      <c r="B45" s="120">
        <v>757</v>
      </c>
      <c r="C45" s="79" t="s">
        <v>17</v>
      </c>
      <c r="D45" s="79" t="s">
        <v>17</v>
      </c>
      <c r="E45" s="79" t="s">
        <v>114</v>
      </c>
      <c r="F45" s="79"/>
      <c r="G45" s="81">
        <f>G46</f>
        <v>216500</v>
      </c>
      <c r="H45" s="81">
        <f t="shared" ref="H45:I45" si="15">H46</f>
        <v>225160</v>
      </c>
      <c r="I45" s="81">
        <f t="shared" si="15"/>
        <v>234500</v>
      </c>
      <c r="J45" s="137"/>
      <c r="K45" s="137"/>
      <c r="L45" s="137"/>
      <c r="M45" s="137"/>
      <c r="N45" s="137"/>
      <c r="O45" s="154"/>
      <c r="P45" s="154"/>
      <c r="Q45" s="154"/>
      <c r="R45" s="154"/>
      <c r="S45" s="141"/>
      <c r="T45" s="141"/>
    </row>
    <row r="46" spans="1:20" s="18" customFormat="1" x14ac:dyDescent="0.25">
      <c r="A46" s="16" t="s">
        <v>209</v>
      </c>
      <c r="B46" s="120">
        <v>757</v>
      </c>
      <c r="C46" s="79" t="s">
        <v>17</v>
      </c>
      <c r="D46" s="79" t="s">
        <v>17</v>
      </c>
      <c r="E46" s="79" t="s">
        <v>115</v>
      </c>
      <c r="F46" s="79"/>
      <c r="G46" s="81">
        <f>G47</f>
        <v>216500</v>
      </c>
      <c r="H46" s="81">
        <f t="shared" ref="H46:I46" si="16">H47</f>
        <v>225160</v>
      </c>
      <c r="I46" s="81">
        <f t="shared" si="16"/>
        <v>234500</v>
      </c>
      <c r="J46" s="137"/>
      <c r="K46" s="154"/>
      <c r="L46" s="154"/>
      <c r="M46" s="154"/>
      <c r="N46" s="154"/>
      <c r="O46" s="154"/>
      <c r="P46" s="154"/>
      <c r="Q46" s="154"/>
      <c r="R46" s="154"/>
      <c r="S46" s="141"/>
      <c r="T46" s="141"/>
    </row>
    <row r="47" spans="1:20" s="18" customFormat="1" ht="26.4" x14ac:dyDescent="0.25">
      <c r="A47" s="16" t="s">
        <v>25</v>
      </c>
      <c r="B47" s="120">
        <v>757</v>
      </c>
      <c r="C47" s="79" t="s">
        <v>17</v>
      </c>
      <c r="D47" s="79" t="s">
        <v>17</v>
      </c>
      <c r="E47" s="79" t="s">
        <v>115</v>
      </c>
      <c r="F47" s="79" t="s">
        <v>26</v>
      </c>
      <c r="G47" s="81">
        <f>G48</f>
        <v>216500</v>
      </c>
      <c r="H47" s="81">
        <f>H48</f>
        <v>225160</v>
      </c>
      <c r="I47" s="81">
        <f>I48</f>
        <v>234500</v>
      </c>
      <c r="J47" s="137"/>
      <c r="K47" s="154"/>
      <c r="L47" s="154"/>
      <c r="M47" s="154"/>
      <c r="N47" s="154"/>
      <c r="O47" s="154"/>
      <c r="P47" s="154"/>
      <c r="Q47" s="154"/>
      <c r="R47" s="154"/>
      <c r="S47" s="141"/>
      <c r="T47" s="141"/>
    </row>
    <row r="48" spans="1:20" s="18" customFormat="1" ht="26.4" x14ac:dyDescent="0.25">
      <c r="A48" s="16" t="s">
        <v>27</v>
      </c>
      <c r="B48" s="120">
        <v>757</v>
      </c>
      <c r="C48" s="79" t="s">
        <v>17</v>
      </c>
      <c r="D48" s="79" t="s">
        <v>17</v>
      </c>
      <c r="E48" s="15" t="s">
        <v>115</v>
      </c>
      <c r="F48" s="15" t="s">
        <v>28</v>
      </c>
      <c r="G48" s="81">
        <v>216500</v>
      </c>
      <c r="H48" s="81">
        <v>225160</v>
      </c>
      <c r="I48" s="81">
        <v>234500</v>
      </c>
      <c r="J48" s="137"/>
      <c r="K48" s="154"/>
      <c r="L48" s="154"/>
      <c r="M48" s="154"/>
      <c r="N48" s="154"/>
      <c r="O48" s="154"/>
      <c r="P48" s="154"/>
      <c r="Q48" s="154"/>
      <c r="R48" s="154"/>
    </row>
    <row r="49" spans="1:18" s="22" customFormat="1" ht="15" customHeight="1" x14ac:dyDescent="0.25">
      <c r="A49" s="221" t="s">
        <v>29</v>
      </c>
      <c r="B49" s="192">
        <v>757</v>
      </c>
      <c r="C49" s="131" t="s">
        <v>30</v>
      </c>
      <c r="D49" s="131"/>
      <c r="E49" s="20"/>
      <c r="F49" s="20"/>
      <c r="G49" s="248">
        <f>G50+G106</f>
        <v>197295011.68000001</v>
      </c>
      <c r="H49" s="248">
        <f>H50+H106</f>
        <v>203934138.94999999</v>
      </c>
      <c r="I49" s="248">
        <f>I50+I106</f>
        <v>211159259.40999997</v>
      </c>
      <c r="J49" s="148"/>
      <c r="K49" s="158"/>
      <c r="L49" s="158"/>
      <c r="M49" s="159"/>
      <c r="N49" s="159"/>
      <c r="O49" s="159"/>
      <c r="P49" s="158"/>
      <c r="Q49" s="158"/>
      <c r="R49" s="158"/>
    </row>
    <row r="50" spans="1:18" x14ac:dyDescent="0.25">
      <c r="A50" s="16" t="s">
        <v>31</v>
      </c>
      <c r="B50" s="120">
        <v>757</v>
      </c>
      <c r="C50" s="79" t="s">
        <v>30</v>
      </c>
      <c r="D50" s="79" t="s">
        <v>10</v>
      </c>
      <c r="E50" s="15"/>
      <c r="F50" s="15"/>
      <c r="G50" s="70">
        <f>G51</f>
        <v>184925884.59999999</v>
      </c>
      <c r="H50" s="70">
        <f t="shared" ref="H50:I50" si="17">H51</f>
        <v>191442204.84</v>
      </c>
      <c r="I50" s="70">
        <f t="shared" si="17"/>
        <v>198524834.01999998</v>
      </c>
      <c r="J50" s="70" t="e">
        <f t="shared" ref="J50:M50" si="18">J51</f>
        <v>#REF!</v>
      </c>
      <c r="K50" s="70" t="e">
        <f t="shared" si="18"/>
        <v>#REF!</v>
      </c>
      <c r="L50" s="70" t="e">
        <f t="shared" si="18"/>
        <v>#REF!</v>
      </c>
      <c r="M50" s="70" t="e">
        <f t="shared" si="18"/>
        <v>#REF!</v>
      </c>
      <c r="N50" s="160"/>
    </row>
    <row r="51" spans="1:18" ht="36" customHeight="1" x14ac:dyDescent="0.25">
      <c r="A51" s="16" t="s">
        <v>365</v>
      </c>
      <c r="B51" s="120">
        <v>757</v>
      </c>
      <c r="C51" s="79" t="s">
        <v>30</v>
      </c>
      <c r="D51" s="79" t="s">
        <v>10</v>
      </c>
      <c r="E51" s="15" t="s">
        <v>111</v>
      </c>
      <c r="F51" s="15"/>
      <c r="G51" s="80">
        <f>G52+G55+G58+G62+G65+G68+G80+G83+G87+G91+G94+G97+G100+G103+G71+G74+G77</f>
        <v>184925884.59999999</v>
      </c>
      <c r="H51" s="80">
        <f t="shared" ref="H51:I51" si="19">H52+H55+H58+H62+H65+H68+H80+H83+H87+H91+H94+H97+H100+H103+H71+H74+H77</f>
        <v>191442204.84</v>
      </c>
      <c r="I51" s="80">
        <f t="shared" si="19"/>
        <v>198524834.01999998</v>
      </c>
      <c r="J51" s="8" t="e">
        <f>J52+J55+J58+#REF!+J62+J65+#REF!+#REF!+#REF!+J68+#REF!+#REF!+J80+#REF!+#REF!+#REF!+#REF!+#REF!+#REF!+#REF!+#REF!+J83+J87+J91+J94+#REF!++#REF!+J97+J100+#REF!+#REF!+#REF!+#REF!+#REF!+#REF!+#REF!+#REF!+#REF!+#REF!+#REF!++#REF!+#REF!+#REF!+#REF!+#REF!+#REF!+#REF!++#REF!++#REF!+#REF!++#REF!+#REF!++#REF!+#REF!+#REF!+#REF!+#REF!+#REF!+#REF!+#REF!+#REF!+#REF!++#REF!+#REF!+#REF!</f>
        <v>#REF!</v>
      </c>
      <c r="K51" s="8" t="e">
        <f>K52+K55+K58+#REF!+K62+K65+#REF!+#REF!+#REF!+K68+#REF!+#REF!+K80+#REF!+#REF!+#REF!+#REF!+#REF!+#REF!+#REF!+#REF!+K83+K87+K91+K94+#REF!++#REF!+K97+K100+#REF!+#REF!+#REF!+#REF!+#REF!+#REF!+#REF!+#REF!+#REF!+#REF!+#REF!++#REF!+#REF!+#REF!+#REF!+#REF!+#REF!+#REF!++#REF!++#REF!+#REF!++#REF!+#REF!++#REF!+#REF!+#REF!+#REF!+#REF!+#REF!+#REF!+#REF!+#REF!+#REF!++#REF!+#REF!+#REF!</f>
        <v>#REF!</v>
      </c>
      <c r="L51" s="8" t="e">
        <f>L52+L55+L58+#REF!+L62+L65+#REF!+#REF!+#REF!+L68+#REF!+#REF!+L80+#REF!+#REF!+#REF!+#REF!+#REF!+#REF!+#REF!+#REF!+L83+L87+L91+L94+#REF!++#REF!+L97+L100+#REF!+#REF!+#REF!+#REF!+#REF!+#REF!+#REF!+#REF!+#REF!+#REF!+#REF!++#REF!+#REF!+#REF!+#REF!+#REF!+#REF!+#REF!++#REF!++#REF!+#REF!++#REF!+#REF!++#REF!+#REF!+#REF!+#REF!+#REF!+#REF!+#REF!+#REF!+#REF!+#REF!++#REF!+#REF!+#REF!</f>
        <v>#REF!</v>
      </c>
      <c r="M51" s="8" t="e">
        <f>M52+M55+M58+#REF!+M62+M65+#REF!+#REF!+#REF!+M68+#REF!+#REF!+M80+#REF!+#REF!+#REF!+#REF!+#REF!+#REF!+#REF!+#REF!+M83+M87+M91+M94+#REF!++#REF!+M97+M100+#REF!+#REF!+#REF!+#REF!+#REF!+#REF!+#REF!+#REF!+#REF!+#REF!+#REF!++#REF!+#REF!+#REF!+#REF!+#REF!+#REF!+#REF!++#REF!++#REF!+#REF!++#REF!+#REF!++#REF!+#REF!+#REF!+#REF!+#REF!+#REF!+#REF!+#REF!+#REF!+#REF!++#REF!+#REF!+#REF!</f>
        <v>#REF!</v>
      </c>
    </row>
    <row r="52" spans="1:18" ht="78.75" customHeight="1" x14ac:dyDescent="0.25">
      <c r="A52" s="206" t="s">
        <v>426</v>
      </c>
      <c r="B52" s="15" t="s">
        <v>36</v>
      </c>
      <c r="C52" s="15" t="s">
        <v>30</v>
      </c>
      <c r="D52" s="15" t="s">
        <v>10</v>
      </c>
      <c r="E52" s="15" t="s">
        <v>325</v>
      </c>
      <c r="F52" s="15"/>
      <c r="G52" s="8">
        <f>G53</f>
        <v>325110.71999999997</v>
      </c>
      <c r="H52" s="8">
        <f t="shared" ref="H52:I52" si="20">H53</f>
        <v>329764.8</v>
      </c>
      <c r="I52" s="8">
        <f t="shared" si="20"/>
        <v>0</v>
      </c>
      <c r="J52" s="136"/>
      <c r="K52" s="69"/>
      <c r="L52" s="69"/>
      <c r="M52" s="69"/>
      <c r="N52" s="69"/>
      <c r="O52" s="69"/>
      <c r="P52" s="69"/>
      <c r="Q52" s="69"/>
      <c r="R52" s="69"/>
    </row>
    <row r="53" spans="1:18" ht="39.75" customHeight="1" x14ac:dyDescent="0.25">
      <c r="A53" s="78" t="s">
        <v>21</v>
      </c>
      <c r="B53" s="79" t="s">
        <v>36</v>
      </c>
      <c r="C53" s="79" t="s">
        <v>30</v>
      </c>
      <c r="D53" s="79" t="s">
        <v>10</v>
      </c>
      <c r="E53" s="15" t="s">
        <v>325</v>
      </c>
      <c r="F53" s="15" t="s">
        <v>22</v>
      </c>
      <c r="G53" s="8">
        <f>G54</f>
        <v>325110.71999999997</v>
      </c>
      <c r="H53" s="80">
        <f t="shared" ref="H53:I53" si="21">H54</f>
        <v>329764.8</v>
      </c>
      <c r="I53" s="80">
        <f t="shared" si="21"/>
        <v>0</v>
      </c>
      <c r="J53" s="137"/>
    </row>
    <row r="54" spans="1:18" ht="19.5" customHeight="1" x14ac:dyDescent="0.25">
      <c r="A54" s="109" t="s">
        <v>23</v>
      </c>
      <c r="B54" s="79" t="s">
        <v>36</v>
      </c>
      <c r="C54" s="79" t="s">
        <v>30</v>
      </c>
      <c r="D54" s="79" t="s">
        <v>10</v>
      </c>
      <c r="E54" s="79" t="s">
        <v>325</v>
      </c>
      <c r="F54" s="79" t="s">
        <v>24</v>
      </c>
      <c r="G54" s="80">
        <v>325110.71999999997</v>
      </c>
      <c r="H54" s="81">
        <v>329764.8</v>
      </c>
      <c r="I54" s="81"/>
      <c r="J54" s="137"/>
    </row>
    <row r="55" spans="1:18" ht="101.25" customHeight="1" x14ac:dyDescent="0.25">
      <c r="A55" s="276" t="s">
        <v>345</v>
      </c>
      <c r="B55" s="120">
        <v>757</v>
      </c>
      <c r="C55" s="79" t="s">
        <v>30</v>
      </c>
      <c r="D55" s="79" t="s">
        <v>10</v>
      </c>
      <c r="E55" s="79" t="s">
        <v>282</v>
      </c>
      <c r="F55" s="120"/>
      <c r="G55" s="81">
        <f>G56</f>
        <v>909453</v>
      </c>
      <c r="H55" s="81">
        <f t="shared" ref="H55:I56" si="22">H56</f>
        <v>909453</v>
      </c>
      <c r="I55" s="81">
        <f t="shared" si="22"/>
        <v>909453</v>
      </c>
      <c r="J55" s="136"/>
      <c r="K55" s="69"/>
      <c r="L55" s="69"/>
      <c r="M55" s="69"/>
      <c r="N55" s="69"/>
      <c r="O55" s="69"/>
      <c r="P55" s="69"/>
      <c r="Q55" s="69"/>
      <c r="R55" s="69"/>
    </row>
    <row r="56" spans="1:18" ht="26.4" x14ac:dyDescent="0.25">
      <c r="A56" s="78" t="s">
        <v>21</v>
      </c>
      <c r="B56" s="120">
        <v>757</v>
      </c>
      <c r="C56" s="79" t="s">
        <v>30</v>
      </c>
      <c r="D56" s="79" t="s">
        <v>10</v>
      </c>
      <c r="E56" s="79" t="s">
        <v>282</v>
      </c>
      <c r="F56" s="79" t="s">
        <v>22</v>
      </c>
      <c r="G56" s="88">
        <f>G57</f>
        <v>909453</v>
      </c>
      <c r="H56" s="88">
        <f t="shared" si="22"/>
        <v>909453</v>
      </c>
      <c r="I56" s="88">
        <f t="shared" si="22"/>
        <v>909453</v>
      </c>
    </row>
    <row r="57" spans="1:18" x14ac:dyDescent="0.25">
      <c r="A57" s="78" t="s">
        <v>23</v>
      </c>
      <c r="B57" s="120">
        <v>757</v>
      </c>
      <c r="C57" s="79" t="s">
        <v>30</v>
      </c>
      <c r="D57" s="79" t="s">
        <v>10</v>
      </c>
      <c r="E57" s="15" t="s">
        <v>282</v>
      </c>
      <c r="F57" s="15" t="s">
        <v>24</v>
      </c>
      <c r="G57" s="25">
        <f>12525.56+896927.44</f>
        <v>909453</v>
      </c>
      <c r="H57" s="88">
        <v>909453</v>
      </c>
      <c r="I57" s="88">
        <v>909453</v>
      </c>
    </row>
    <row r="58" spans="1:18" x14ac:dyDescent="0.25">
      <c r="A58" s="118" t="s">
        <v>32</v>
      </c>
      <c r="B58" s="120">
        <v>757</v>
      </c>
      <c r="C58" s="79" t="s">
        <v>30</v>
      </c>
      <c r="D58" s="79" t="s">
        <v>10</v>
      </c>
      <c r="E58" s="15" t="s">
        <v>116</v>
      </c>
      <c r="F58" s="14"/>
      <c r="G58" s="8">
        <f>G59</f>
        <v>121274709.53999999</v>
      </c>
      <c r="H58" s="8">
        <f t="shared" ref="H58:I58" si="23">H59</f>
        <v>125511328.51000001</v>
      </c>
      <c r="I58" s="8">
        <f t="shared" si="23"/>
        <v>130399930.01000001</v>
      </c>
      <c r="J58" s="138"/>
    </row>
    <row r="59" spans="1:18" ht="37.5" customHeight="1" x14ac:dyDescent="0.25">
      <c r="A59" s="78" t="s">
        <v>21</v>
      </c>
      <c r="B59" s="120">
        <v>757</v>
      </c>
      <c r="C59" s="79" t="s">
        <v>30</v>
      </c>
      <c r="D59" s="79" t="s">
        <v>10</v>
      </c>
      <c r="E59" s="15" t="s">
        <v>116</v>
      </c>
      <c r="F59" s="15" t="s">
        <v>22</v>
      </c>
      <c r="G59" s="8">
        <f>G60+G61</f>
        <v>121274709.53999999</v>
      </c>
      <c r="H59" s="80">
        <f>H60+H61</f>
        <v>125511328.51000001</v>
      </c>
      <c r="I59" s="80">
        <f>I60+I61</f>
        <v>130399930.01000001</v>
      </c>
      <c r="J59" s="138"/>
    </row>
    <row r="60" spans="1:18" x14ac:dyDescent="0.25">
      <c r="A60" s="78" t="s">
        <v>23</v>
      </c>
      <c r="B60" s="120">
        <v>757</v>
      </c>
      <c r="C60" s="79" t="s">
        <v>30</v>
      </c>
      <c r="D60" s="79" t="s">
        <v>10</v>
      </c>
      <c r="E60" s="15" t="s">
        <v>116</v>
      </c>
      <c r="F60" s="15" t="s">
        <v>24</v>
      </c>
      <c r="G60" s="8">
        <v>108041721.88</v>
      </c>
      <c r="H60" s="80">
        <f>113224614.51-1500000</f>
        <v>111724614.51000001</v>
      </c>
      <c r="I60" s="80">
        <f>118731039.03-2500000</f>
        <v>116231039.03</v>
      </c>
      <c r="J60" s="138"/>
    </row>
    <row r="61" spans="1:18" x14ac:dyDescent="0.25">
      <c r="A61" s="78" t="s">
        <v>276</v>
      </c>
      <c r="B61" s="120">
        <v>757</v>
      </c>
      <c r="C61" s="79" t="s">
        <v>30</v>
      </c>
      <c r="D61" s="79" t="s">
        <v>10</v>
      </c>
      <c r="E61" s="15" t="s">
        <v>116</v>
      </c>
      <c r="F61" s="15" t="s">
        <v>275</v>
      </c>
      <c r="G61" s="8">
        <v>13232987.66</v>
      </c>
      <c r="H61" s="80">
        <f>13886714-100000</f>
        <v>13786714</v>
      </c>
      <c r="I61" s="80">
        <f>14568890.98-400000</f>
        <v>14168890.98</v>
      </c>
      <c r="J61" s="138"/>
    </row>
    <row r="62" spans="1:18" s="3" customFormat="1" ht="15" customHeight="1" x14ac:dyDescent="0.25">
      <c r="A62" s="115" t="s">
        <v>33</v>
      </c>
      <c r="B62" s="120">
        <v>757</v>
      </c>
      <c r="C62" s="79" t="s">
        <v>30</v>
      </c>
      <c r="D62" s="79" t="s">
        <v>10</v>
      </c>
      <c r="E62" s="79" t="s">
        <v>117</v>
      </c>
      <c r="F62" s="79"/>
      <c r="G62" s="25">
        <f>G63</f>
        <v>10750884.210000001</v>
      </c>
      <c r="H62" s="88">
        <f t="shared" ref="G62:I63" si="24">H63</f>
        <v>11277763.91</v>
      </c>
      <c r="I62" s="88">
        <f t="shared" si="24"/>
        <v>11629035</v>
      </c>
      <c r="J62" s="139"/>
      <c r="K62" s="153"/>
      <c r="L62" s="153"/>
      <c r="M62" s="153"/>
      <c r="N62" s="153"/>
      <c r="O62" s="153"/>
      <c r="P62" s="153"/>
      <c r="Q62" s="153"/>
      <c r="R62" s="153"/>
    </row>
    <row r="63" spans="1:18" ht="26.4" x14ac:dyDescent="0.25">
      <c r="A63" s="78" t="s">
        <v>21</v>
      </c>
      <c r="B63" s="120">
        <v>757</v>
      </c>
      <c r="C63" s="79" t="s">
        <v>30</v>
      </c>
      <c r="D63" s="79" t="s">
        <v>10</v>
      </c>
      <c r="E63" s="79" t="s">
        <v>117</v>
      </c>
      <c r="F63" s="79" t="s">
        <v>22</v>
      </c>
      <c r="G63" s="8">
        <f t="shared" si="24"/>
        <v>10750884.210000001</v>
      </c>
      <c r="H63" s="80">
        <f t="shared" si="24"/>
        <v>11277763.91</v>
      </c>
      <c r="I63" s="80">
        <f t="shared" si="24"/>
        <v>11629035</v>
      </c>
      <c r="J63" s="138"/>
    </row>
    <row r="64" spans="1:18" x14ac:dyDescent="0.25">
      <c r="A64" s="78" t="s">
        <v>23</v>
      </c>
      <c r="B64" s="120">
        <v>757</v>
      </c>
      <c r="C64" s="79" t="s">
        <v>30</v>
      </c>
      <c r="D64" s="79" t="s">
        <v>10</v>
      </c>
      <c r="E64" s="79" t="s">
        <v>117</v>
      </c>
      <c r="F64" s="79" t="s">
        <v>24</v>
      </c>
      <c r="G64" s="8">
        <v>10750884.210000001</v>
      </c>
      <c r="H64" s="80">
        <f>11377763.91-100000</f>
        <v>11277763.91</v>
      </c>
      <c r="I64" s="80">
        <f>11929035-300000</f>
        <v>11629035</v>
      </c>
      <c r="J64" s="138"/>
    </row>
    <row r="65" spans="1:18" s="3" customFormat="1" ht="15" customHeight="1" x14ac:dyDescent="0.25">
      <c r="A65" s="116" t="s">
        <v>34</v>
      </c>
      <c r="B65" s="120">
        <v>757</v>
      </c>
      <c r="C65" s="79" t="s">
        <v>30</v>
      </c>
      <c r="D65" s="79" t="s">
        <v>10</v>
      </c>
      <c r="E65" s="79" t="s">
        <v>118</v>
      </c>
      <c r="F65" s="79"/>
      <c r="G65" s="25">
        <f>G66</f>
        <v>50580564.890000001</v>
      </c>
      <c r="H65" s="25">
        <f t="shared" ref="H65:I65" si="25">H66</f>
        <v>52080359.159999996</v>
      </c>
      <c r="I65" s="25">
        <f t="shared" si="25"/>
        <v>54204251.060000002</v>
      </c>
      <c r="J65" s="139"/>
      <c r="K65" s="153"/>
      <c r="L65" s="153"/>
      <c r="M65" s="153"/>
      <c r="N65" s="153"/>
      <c r="O65" s="153"/>
      <c r="P65" s="153"/>
      <c r="Q65" s="153"/>
      <c r="R65" s="153"/>
    </row>
    <row r="66" spans="1:18" ht="26.4" x14ac:dyDescent="0.25">
      <c r="A66" s="78" t="s">
        <v>21</v>
      </c>
      <c r="B66" s="120">
        <v>757</v>
      </c>
      <c r="C66" s="79" t="s">
        <v>30</v>
      </c>
      <c r="D66" s="79" t="s">
        <v>10</v>
      </c>
      <c r="E66" s="79" t="s">
        <v>118</v>
      </c>
      <c r="F66" s="79" t="s">
        <v>22</v>
      </c>
      <c r="G66" s="8">
        <f>G67</f>
        <v>50580564.890000001</v>
      </c>
      <c r="H66" s="8">
        <f t="shared" ref="H66:I66" si="26">H67</f>
        <v>52080359.159999996</v>
      </c>
      <c r="I66" s="8">
        <f t="shared" si="26"/>
        <v>54204251.060000002</v>
      </c>
      <c r="J66" s="138"/>
    </row>
    <row r="67" spans="1:18" x14ac:dyDescent="0.25">
      <c r="A67" s="78" t="s">
        <v>23</v>
      </c>
      <c r="B67" s="120">
        <v>757</v>
      </c>
      <c r="C67" s="79" t="s">
        <v>30</v>
      </c>
      <c r="D67" s="79" t="s">
        <v>10</v>
      </c>
      <c r="E67" s="79" t="s">
        <v>118</v>
      </c>
      <c r="F67" s="79" t="s">
        <v>24</v>
      </c>
      <c r="G67" s="8">
        <v>50580564.890000001</v>
      </c>
      <c r="H67" s="80">
        <f>53080359.16-1000000</f>
        <v>52080359.159999996</v>
      </c>
      <c r="I67" s="80">
        <f>55704251.06-1500000</f>
        <v>54204251.060000002</v>
      </c>
      <c r="J67" s="138"/>
    </row>
    <row r="68" spans="1:18" ht="42.75" customHeight="1" x14ac:dyDescent="0.25">
      <c r="A68" s="95" t="s">
        <v>450</v>
      </c>
      <c r="B68" s="120">
        <v>757</v>
      </c>
      <c r="C68" s="79" t="s">
        <v>30</v>
      </c>
      <c r="D68" s="79" t="s">
        <v>10</v>
      </c>
      <c r="E68" s="79" t="s">
        <v>241</v>
      </c>
      <c r="F68" s="79"/>
      <c r="G68" s="8">
        <f t="shared" ref="G68:I69" si="27">G69</f>
        <v>37042</v>
      </c>
      <c r="H68" s="80">
        <f t="shared" si="27"/>
        <v>38523.68</v>
      </c>
      <c r="I68" s="80">
        <f t="shared" si="27"/>
        <v>40063.879999999997</v>
      </c>
      <c r="J68" s="138"/>
    </row>
    <row r="69" spans="1:18" ht="26.4" x14ac:dyDescent="0.25">
      <c r="A69" s="78" t="s">
        <v>21</v>
      </c>
      <c r="B69" s="120">
        <v>757</v>
      </c>
      <c r="C69" s="79" t="s">
        <v>30</v>
      </c>
      <c r="D69" s="79" t="s">
        <v>10</v>
      </c>
      <c r="E69" s="79" t="s">
        <v>241</v>
      </c>
      <c r="F69" s="79" t="s">
        <v>22</v>
      </c>
      <c r="G69" s="8">
        <f t="shared" si="27"/>
        <v>37042</v>
      </c>
      <c r="H69" s="80">
        <f t="shared" si="27"/>
        <v>38523.68</v>
      </c>
      <c r="I69" s="80">
        <f t="shared" si="27"/>
        <v>40063.879999999997</v>
      </c>
      <c r="J69" s="138"/>
    </row>
    <row r="70" spans="1:18" x14ac:dyDescent="0.25">
      <c r="A70" s="78" t="s">
        <v>23</v>
      </c>
      <c r="B70" s="120">
        <v>757</v>
      </c>
      <c r="C70" s="79" t="s">
        <v>30</v>
      </c>
      <c r="D70" s="79" t="s">
        <v>10</v>
      </c>
      <c r="E70" s="79" t="s">
        <v>241</v>
      </c>
      <c r="F70" s="79" t="s">
        <v>24</v>
      </c>
      <c r="G70" s="8">
        <v>37042</v>
      </c>
      <c r="H70" s="80">
        <v>38523.68</v>
      </c>
      <c r="I70" s="80">
        <v>40063.879999999997</v>
      </c>
      <c r="J70" s="138"/>
    </row>
    <row r="71" spans="1:18" ht="24.6" customHeight="1" x14ac:dyDescent="0.25">
      <c r="A71" s="78" t="s">
        <v>539</v>
      </c>
      <c r="B71" s="120">
        <v>757</v>
      </c>
      <c r="C71" s="79" t="s">
        <v>30</v>
      </c>
      <c r="D71" s="79" t="s">
        <v>10</v>
      </c>
      <c r="E71" s="79" t="s">
        <v>540</v>
      </c>
      <c r="F71" s="79"/>
      <c r="G71" s="80">
        <f>G72</f>
        <v>0</v>
      </c>
      <c r="H71" s="80">
        <f t="shared" ref="H71:I72" si="28">H72</f>
        <v>56958.59</v>
      </c>
      <c r="I71" s="80">
        <f t="shared" si="28"/>
        <v>59236.93</v>
      </c>
      <c r="J71" s="138"/>
    </row>
    <row r="72" spans="1:18" ht="26.4" x14ac:dyDescent="0.25">
      <c r="A72" s="78" t="s">
        <v>21</v>
      </c>
      <c r="B72" s="120">
        <v>757</v>
      </c>
      <c r="C72" s="79" t="s">
        <v>30</v>
      </c>
      <c r="D72" s="79" t="s">
        <v>10</v>
      </c>
      <c r="E72" s="79" t="s">
        <v>540</v>
      </c>
      <c r="F72" s="79" t="s">
        <v>22</v>
      </c>
      <c r="G72" s="80">
        <f>G73</f>
        <v>0</v>
      </c>
      <c r="H72" s="80">
        <f t="shared" si="28"/>
        <v>56958.59</v>
      </c>
      <c r="I72" s="80">
        <f t="shared" si="28"/>
        <v>59236.93</v>
      </c>
      <c r="J72" s="138"/>
    </row>
    <row r="73" spans="1:18" x14ac:dyDescent="0.25">
      <c r="A73" s="78" t="s">
        <v>23</v>
      </c>
      <c r="B73" s="120">
        <v>757</v>
      </c>
      <c r="C73" s="79" t="s">
        <v>30</v>
      </c>
      <c r="D73" s="79" t="s">
        <v>10</v>
      </c>
      <c r="E73" s="79" t="s">
        <v>540</v>
      </c>
      <c r="F73" s="79" t="s">
        <v>24</v>
      </c>
      <c r="G73" s="8"/>
      <c r="H73" s="80">
        <v>56958.59</v>
      </c>
      <c r="I73" s="80">
        <v>59236.93</v>
      </c>
      <c r="J73" s="138"/>
    </row>
    <row r="74" spans="1:18" ht="26.4" x14ac:dyDescent="0.25">
      <c r="A74" s="78" t="s">
        <v>541</v>
      </c>
      <c r="B74" s="120">
        <v>757</v>
      </c>
      <c r="C74" s="79" t="s">
        <v>30</v>
      </c>
      <c r="D74" s="79" t="s">
        <v>10</v>
      </c>
      <c r="E74" s="79" t="s">
        <v>542</v>
      </c>
      <c r="F74" s="79"/>
      <c r="G74" s="8">
        <f>G75</f>
        <v>284000</v>
      </c>
      <c r="H74" s="8">
        <f t="shared" ref="H74:I75" si="29">H75</f>
        <v>0</v>
      </c>
      <c r="I74" s="8">
        <f t="shared" si="29"/>
        <v>0</v>
      </c>
      <c r="J74" s="138"/>
    </row>
    <row r="75" spans="1:18" ht="26.4" x14ac:dyDescent="0.25">
      <c r="A75" s="78" t="s">
        <v>21</v>
      </c>
      <c r="B75" s="120">
        <v>757</v>
      </c>
      <c r="C75" s="79" t="s">
        <v>30</v>
      </c>
      <c r="D75" s="79" t="s">
        <v>10</v>
      </c>
      <c r="E75" s="79" t="s">
        <v>542</v>
      </c>
      <c r="F75" s="79" t="s">
        <v>22</v>
      </c>
      <c r="G75" s="8">
        <f>G76</f>
        <v>284000</v>
      </c>
      <c r="H75" s="8">
        <f t="shared" si="29"/>
        <v>0</v>
      </c>
      <c r="I75" s="8">
        <f t="shared" si="29"/>
        <v>0</v>
      </c>
      <c r="J75" s="138"/>
    </row>
    <row r="76" spans="1:18" x14ac:dyDescent="0.25">
      <c r="A76" s="78" t="s">
        <v>23</v>
      </c>
      <c r="B76" s="120">
        <v>757</v>
      </c>
      <c r="C76" s="79" t="s">
        <v>30</v>
      </c>
      <c r="D76" s="79" t="s">
        <v>10</v>
      </c>
      <c r="E76" s="79" t="s">
        <v>542</v>
      </c>
      <c r="F76" s="79" t="s">
        <v>24</v>
      </c>
      <c r="G76" s="8">
        <v>284000</v>
      </c>
      <c r="H76" s="80"/>
      <c r="I76" s="80"/>
      <c r="J76" s="138"/>
    </row>
    <row r="77" spans="1:18" hidden="1" x14ac:dyDescent="0.25">
      <c r="A77" s="78" t="s">
        <v>543</v>
      </c>
      <c r="B77" s="120">
        <v>757</v>
      </c>
      <c r="C77" s="79" t="s">
        <v>30</v>
      </c>
      <c r="D77" s="79" t="s">
        <v>10</v>
      </c>
      <c r="E77" s="79" t="s">
        <v>544</v>
      </c>
      <c r="F77" s="79"/>
      <c r="G77" s="80">
        <f t="shared" ref="G77:I78" si="30">G78</f>
        <v>0</v>
      </c>
      <c r="H77" s="80">
        <f t="shared" si="30"/>
        <v>0</v>
      </c>
      <c r="I77" s="80">
        <f t="shared" si="30"/>
        <v>0</v>
      </c>
      <c r="J77" s="138"/>
    </row>
    <row r="78" spans="1:18" ht="26.4" hidden="1" x14ac:dyDescent="0.25">
      <c r="A78" s="78" t="s">
        <v>21</v>
      </c>
      <c r="B78" s="120">
        <v>757</v>
      </c>
      <c r="C78" s="79" t="s">
        <v>30</v>
      </c>
      <c r="D78" s="79" t="s">
        <v>10</v>
      </c>
      <c r="E78" s="79" t="s">
        <v>544</v>
      </c>
      <c r="F78" s="79" t="s">
        <v>22</v>
      </c>
      <c r="G78" s="80">
        <f t="shared" si="30"/>
        <v>0</v>
      </c>
      <c r="H78" s="80">
        <f t="shared" si="30"/>
        <v>0</v>
      </c>
      <c r="I78" s="80">
        <f t="shared" si="30"/>
        <v>0</v>
      </c>
      <c r="J78" s="138"/>
    </row>
    <row r="79" spans="1:18" hidden="1" x14ac:dyDescent="0.25">
      <c r="A79" s="78" t="s">
        <v>23</v>
      </c>
      <c r="B79" s="120">
        <v>757</v>
      </c>
      <c r="C79" s="79" t="s">
        <v>30</v>
      </c>
      <c r="D79" s="79" t="s">
        <v>10</v>
      </c>
      <c r="E79" s="79" t="s">
        <v>544</v>
      </c>
      <c r="F79" s="79" t="s">
        <v>24</v>
      </c>
      <c r="G79" s="8"/>
      <c r="H79" s="80"/>
      <c r="I79" s="80"/>
      <c r="J79" s="138"/>
    </row>
    <row r="80" spans="1:18" ht="43.95" hidden="1" customHeight="1" x14ac:dyDescent="0.25">
      <c r="A80" s="78" t="s">
        <v>105</v>
      </c>
      <c r="B80" s="120">
        <v>757</v>
      </c>
      <c r="C80" s="79" t="s">
        <v>30</v>
      </c>
      <c r="D80" s="79" t="s">
        <v>10</v>
      </c>
      <c r="E80" s="79" t="s">
        <v>104</v>
      </c>
      <c r="F80" s="79"/>
      <c r="G80" s="80">
        <f>G81</f>
        <v>0</v>
      </c>
      <c r="H80" s="80">
        <f t="shared" ref="H80:I80" si="31">H81</f>
        <v>0</v>
      </c>
      <c r="I80" s="80">
        <f t="shared" si="31"/>
        <v>0</v>
      </c>
      <c r="J80" s="138"/>
    </row>
    <row r="81" spans="1:10" ht="26.4" hidden="1" x14ac:dyDescent="0.25">
      <c r="A81" s="78" t="s">
        <v>21</v>
      </c>
      <c r="B81" s="120">
        <v>757</v>
      </c>
      <c r="C81" s="79" t="s">
        <v>30</v>
      </c>
      <c r="D81" s="79" t="s">
        <v>10</v>
      </c>
      <c r="E81" s="79" t="s">
        <v>104</v>
      </c>
      <c r="F81" s="79" t="s">
        <v>22</v>
      </c>
      <c r="G81" s="80">
        <f>G82</f>
        <v>0</v>
      </c>
      <c r="H81" s="80">
        <f t="shared" ref="H81:I81" si="32">H82</f>
        <v>0</v>
      </c>
      <c r="I81" s="80">
        <f t="shared" si="32"/>
        <v>0</v>
      </c>
      <c r="J81" s="138"/>
    </row>
    <row r="82" spans="1:10" hidden="1" x14ac:dyDescent="0.25">
      <c r="A82" s="78" t="s">
        <v>23</v>
      </c>
      <c r="B82" s="120">
        <v>757</v>
      </c>
      <c r="C82" s="79" t="s">
        <v>30</v>
      </c>
      <c r="D82" s="79" t="s">
        <v>10</v>
      </c>
      <c r="E82" s="79" t="s">
        <v>104</v>
      </c>
      <c r="F82" s="79" t="s">
        <v>24</v>
      </c>
      <c r="G82" s="8"/>
      <c r="H82" s="80"/>
      <c r="I82" s="80"/>
      <c r="J82" s="138"/>
    </row>
    <row r="83" spans="1:10" ht="26.4" x14ac:dyDescent="0.25">
      <c r="A83" s="78" t="s">
        <v>392</v>
      </c>
      <c r="B83" s="120">
        <v>757</v>
      </c>
      <c r="C83" s="79" t="s">
        <v>30</v>
      </c>
      <c r="D83" s="79" t="s">
        <v>10</v>
      </c>
      <c r="E83" s="79" t="s">
        <v>312</v>
      </c>
      <c r="F83" s="79"/>
      <c r="G83" s="81">
        <f>G84</f>
        <v>400000</v>
      </c>
      <c r="H83" s="81">
        <f t="shared" ref="H83:I83" si="33">H84</f>
        <v>400000</v>
      </c>
      <c r="I83" s="81">
        <f t="shared" si="33"/>
        <v>400000</v>
      </c>
      <c r="J83" s="137"/>
    </row>
    <row r="84" spans="1:10" ht="27" customHeight="1" x14ac:dyDescent="0.25">
      <c r="A84" s="78" t="s">
        <v>21</v>
      </c>
      <c r="B84" s="120">
        <v>757</v>
      </c>
      <c r="C84" s="79" t="s">
        <v>30</v>
      </c>
      <c r="D84" s="79" t="s">
        <v>10</v>
      </c>
      <c r="E84" s="79" t="s">
        <v>312</v>
      </c>
      <c r="F84" s="79" t="s">
        <v>22</v>
      </c>
      <c r="G84" s="81">
        <f>G85+G86</f>
        <v>400000</v>
      </c>
      <c r="H84" s="81">
        <f t="shared" ref="H84:I84" si="34">H85+H86</f>
        <v>400000</v>
      </c>
      <c r="I84" s="81">
        <f t="shared" si="34"/>
        <v>400000</v>
      </c>
      <c r="J84" s="137"/>
    </row>
    <row r="85" spans="1:10" ht="19.5" customHeight="1" x14ac:dyDescent="0.25">
      <c r="A85" s="78" t="s">
        <v>23</v>
      </c>
      <c r="B85" s="120">
        <v>757</v>
      </c>
      <c r="C85" s="79" t="s">
        <v>30</v>
      </c>
      <c r="D85" s="79" t="s">
        <v>10</v>
      </c>
      <c r="E85" s="79" t="s">
        <v>312</v>
      </c>
      <c r="F85" s="79" t="s">
        <v>24</v>
      </c>
      <c r="G85" s="81">
        <f>400000-30000</f>
        <v>370000</v>
      </c>
      <c r="H85" s="70">
        <f>400000-31200</f>
        <v>368800</v>
      </c>
      <c r="I85" s="70">
        <f>400000-32448</f>
        <v>367552</v>
      </c>
      <c r="J85" s="137"/>
    </row>
    <row r="86" spans="1:10" ht="19.5" customHeight="1" x14ac:dyDescent="0.25">
      <c r="A86" s="78" t="s">
        <v>276</v>
      </c>
      <c r="B86" s="120">
        <v>757</v>
      </c>
      <c r="C86" s="79" t="s">
        <v>30</v>
      </c>
      <c r="D86" s="79" t="s">
        <v>10</v>
      </c>
      <c r="E86" s="79" t="s">
        <v>312</v>
      </c>
      <c r="F86" s="79" t="s">
        <v>275</v>
      </c>
      <c r="G86" s="81">
        <v>30000</v>
      </c>
      <c r="H86" s="70">
        <v>31200</v>
      </c>
      <c r="I86" s="70">
        <v>32448</v>
      </c>
      <c r="J86" s="137"/>
    </row>
    <row r="87" spans="1:10" x14ac:dyDescent="0.25">
      <c r="A87" s="78" t="s">
        <v>305</v>
      </c>
      <c r="B87" s="120">
        <v>757</v>
      </c>
      <c r="C87" s="79" t="s">
        <v>30</v>
      </c>
      <c r="D87" s="79" t="s">
        <v>10</v>
      </c>
      <c r="E87" s="79" t="s">
        <v>304</v>
      </c>
      <c r="F87" s="79"/>
      <c r="G87" s="81">
        <f>G88</f>
        <v>352040.82</v>
      </c>
      <c r="H87" s="70">
        <f t="shared" ref="H87:I87" si="35">H88</f>
        <v>669673.47</v>
      </c>
      <c r="I87" s="70">
        <f t="shared" si="35"/>
        <v>705673.47</v>
      </c>
      <c r="J87" s="137"/>
    </row>
    <row r="88" spans="1:10" ht="26.4" x14ac:dyDescent="0.25">
      <c r="A88" s="78" t="s">
        <v>21</v>
      </c>
      <c r="B88" s="120">
        <v>757</v>
      </c>
      <c r="C88" s="79" t="s">
        <v>30</v>
      </c>
      <c r="D88" s="79" t="s">
        <v>10</v>
      </c>
      <c r="E88" s="79" t="s">
        <v>304</v>
      </c>
      <c r="F88" s="79" t="s">
        <v>22</v>
      </c>
      <c r="G88" s="81">
        <f>G89+G90</f>
        <v>352040.82</v>
      </c>
      <c r="H88" s="70">
        <f t="shared" ref="H88:I88" si="36">H89+H90</f>
        <v>669673.47</v>
      </c>
      <c r="I88" s="70">
        <f t="shared" si="36"/>
        <v>705673.47</v>
      </c>
      <c r="J88" s="137"/>
    </row>
    <row r="89" spans="1:10" ht="19.5" customHeight="1" x14ac:dyDescent="0.25">
      <c r="A89" s="78" t="s">
        <v>23</v>
      </c>
      <c r="B89" s="120">
        <v>757</v>
      </c>
      <c r="C89" s="79" t="s">
        <v>30</v>
      </c>
      <c r="D89" s="79" t="s">
        <v>10</v>
      </c>
      <c r="E89" s="79" t="s">
        <v>304</v>
      </c>
      <c r="F89" s="79" t="s">
        <v>24</v>
      </c>
      <c r="G89" s="81">
        <f>352040.82-10204.08</f>
        <v>341836.74</v>
      </c>
      <c r="H89" s="70">
        <f>669673.47-18000</f>
        <v>651673.47</v>
      </c>
      <c r="I89" s="70">
        <f>705673.47-18000</f>
        <v>687673.47</v>
      </c>
      <c r="J89" s="137"/>
    </row>
    <row r="90" spans="1:10" ht="19.5" customHeight="1" x14ac:dyDescent="0.25">
      <c r="A90" s="78" t="s">
        <v>276</v>
      </c>
      <c r="B90" s="120">
        <v>757</v>
      </c>
      <c r="C90" s="79" t="s">
        <v>30</v>
      </c>
      <c r="D90" s="79" t="s">
        <v>10</v>
      </c>
      <c r="E90" s="79" t="s">
        <v>304</v>
      </c>
      <c r="F90" s="79" t="s">
        <v>275</v>
      </c>
      <c r="G90" s="81">
        <v>10204.08</v>
      </c>
      <c r="H90" s="70">
        <v>18000</v>
      </c>
      <c r="I90" s="70">
        <v>18000</v>
      </c>
      <c r="J90" s="137"/>
    </row>
    <row r="91" spans="1:10" hidden="1" x14ac:dyDescent="0.25">
      <c r="A91" s="78" t="s">
        <v>545</v>
      </c>
      <c r="B91" s="120">
        <v>757</v>
      </c>
      <c r="C91" s="79" t="s">
        <v>30</v>
      </c>
      <c r="D91" s="79" t="s">
        <v>10</v>
      </c>
      <c r="E91" s="79" t="s">
        <v>546</v>
      </c>
      <c r="F91" s="79"/>
      <c r="G91" s="81">
        <f>G92</f>
        <v>0</v>
      </c>
      <c r="H91" s="70">
        <f t="shared" ref="H91:I91" si="37">H92</f>
        <v>0</v>
      </c>
      <c r="I91" s="70">
        <f t="shared" si="37"/>
        <v>0</v>
      </c>
      <c r="J91" s="137"/>
    </row>
    <row r="92" spans="1:10" ht="26.4" hidden="1" x14ac:dyDescent="0.25">
      <c r="A92" s="78" t="s">
        <v>21</v>
      </c>
      <c r="B92" s="120">
        <v>757</v>
      </c>
      <c r="C92" s="79" t="s">
        <v>30</v>
      </c>
      <c r="D92" s="79" t="s">
        <v>10</v>
      </c>
      <c r="E92" s="79" t="s">
        <v>546</v>
      </c>
      <c r="F92" s="79" t="s">
        <v>22</v>
      </c>
      <c r="G92" s="81">
        <f>G93</f>
        <v>0</v>
      </c>
      <c r="H92" s="70">
        <f>H93</f>
        <v>0</v>
      </c>
      <c r="I92" s="70">
        <f>I93</f>
        <v>0</v>
      </c>
      <c r="J92" s="137"/>
    </row>
    <row r="93" spans="1:10" ht="19.5" hidden="1" customHeight="1" x14ac:dyDescent="0.25">
      <c r="A93" s="78" t="s">
        <v>23</v>
      </c>
      <c r="B93" s="120">
        <v>757</v>
      </c>
      <c r="C93" s="79" t="s">
        <v>30</v>
      </c>
      <c r="D93" s="79" t="s">
        <v>10</v>
      </c>
      <c r="E93" s="79" t="s">
        <v>546</v>
      </c>
      <c r="F93" s="79" t="s">
        <v>24</v>
      </c>
      <c r="G93" s="70"/>
      <c r="H93" s="70"/>
      <c r="I93" s="70"/>
      <c r="J93" s="137"/>
    </row>
    <row r="94" spans="1:10" ht="39.6" x14ac:dyDescent="0.25">
      <c r="A94" s="78" t="s">
        <v>307</v>
      </c>
      <c r="B94" s="120">
        <v>757</v>
      </c>
      <c r="C94" s="79" t="s">
        <v>30</v>
      </c>
      <c r="D94" s="79" t="s">
        <v>10</v>
      </c>
      <c r="E94" s="79" t="s">
        <v>306</v>
      </c>
      <c r="F94" s="79"/>
      <c r="G94" s="70">
        <f>G95</f>
        <v>0</v>
      </c>
      <c r="H94" s="70">
        <f t="shared" ref="H94:I94" si="38">H95</f>
        <v>8120</v>
      </c>
      <c r="I94" s="70">
        <f t="shared" si="38"/>
        <v>16120</v>
      </c>
      <c r="J94" s="137"/>
    </row>
    <row r="95" spans="1:10" ht="26.4" x14ac:dyDescent="0.25">
      <c r="A95" s="78" t="s">
        <v>21</v>
      </c>
      <c r="B95" s="120">
        <v>757</v>
      </c>
      <c r="C95" s="79" t="s">
        <v>30</v>
      </c>
      <c r="D95" s="79" t="s">
        <v>10</v>
      </c>
      <c r="E95" s="79" t="s">
        <v>306</v>
      </c>
      <c r="F95" s="79" t="s">
        <v>22</v>
      </c>
      <c r="G95" s="70">
        <f>G96</f>
        <v>0</v>
      </c>
      <c r="H95" s="81">
        <f>H96</f>
        <v>8120</v>
      </c>
      <c r="I95" s="81">
        <f>I96</f>
        <v>16120</v>
      </c>
      <c r="J95" s="137"/>
    </row>
    <row r="96" spans="1:10" ht="19.5" customHeight="1" x14ac:dyDescent="0.25">
      <c r="A96" s="78" t="s">
        <v>23</v>
      </c>
      <c r="B96" s="120">
        <v>757</v>
      </c>
      <c r="C96" s="79" t="s">
        <v>30</v>
      </c>
      <c r="D96" s="79" t="s">
        <v>10</v>
      </c>
      <c r="E96" s="79" t="s">
        <v>306</v>
      </c>
      <c r="F96" s="79" t="s">
        <v>24</v>
      </c>
      <c r="G96" s="70"/>
      <c r="H96" s="81">
        <v>8120</v>
      </c>
      <c r="I96" s="81">
        <v>16120</v>
      </c>
      <c r="J96" s="137"/>
    </row>
    <row r="97" spans="1:18" ht="37.5" hidden="1" customHeight="1" x14ac:dyDescent="0.25">
      <c r="A97" s="78" t="s">
        <v>337</v>
      </c>
      <c r="B97" s="120">
        <v>757</v>
      </c>
      <c r="C97" s="79" t="s">
        <v>30</v>
      </c>
      <c r="D97" s="79" t="s">
        <v>10</v>
      </c>
      <c r="E97" s="79" t="s">
        <v>309</v>
      </c>
      <c r="F97" s="79"/>
      <c r="G97" s="70">
        <f>G98</f>
        <v>0</v>
      </c>
      <c r="H97" s="81">
        <f t="shared" ref="H97:I97" si="39">H98</f>
        <v>0</v>
      </c>
      <c r="I97" s="81">
        <f t="shared" si="39"/>
        <v>0</v>
      </c>
      <c r="J97" s="137"/>
    </row>
    <row r="98" spans="1:18" ht="26.4" hidden="1" x14ac:dyDescent="0.25">
      <c r="A98" s="78" t="s">
        <v>21</v>
      </c>
      <c r="B98" s="120">
        <v>757</v>
      </c>
      <c r="C98" s="79" t="s">
        <v>30</v>
      </c>
      <c r="D98" s="79" t="s">
        <v>10</v>
      </c>
      <c r="E98" s="79" t="s">
        <v>309</v>
      </c>
      <c r="F98" s="79" t="s">
        <v>22</v>
      </c>
      <c r="G98" s="70">
        <f>G99</f>
        <v>0</v>
      </c>
      <c r="H98" s="81">
        <f>H99</f>
        <v>0</v>
      </c>
      <c r="I98" s="81">
        <f>I99</f>
        <v>0</v>
      </c>
      <c r="J98" s="137"/>
    </row>
    <row r="99" spans="1:18" ht="19.5" hidden="1" customHeight="1" x14ac:dyDescent="0.25">
      <c r="A99" s="78" t="s">
        <v>23</v>
      </c>
      <c r="B99" s="120">
        <v>757</v>
      </c>
      <c r="C99" s="79" t="s">
        <v>30</v>
      </c>
      <c r="D99" s="79" t="s">
        <v>10</v>
      </c>
      <c r="E99" s="79" t="s">
        <v>309</v>
      </c>
      <c r="F99" s="79" t="s">
        <v>24</v>
      </c>
      <c r="G99" s="70"/>
      <c r="H99" s="81"/>
      <c r="I99" s="81"/>
      <c r="J99" s="137"/>
    </row>
    <row r="100" spans="1:18" ht="26.4" x14ac:dyDescent="0.25">
      <c r="A100" s="78" t="s">
        <v>311</v>
      </c>
      <c r="B100" s="120">
        <v>757</v>
      </c>
      <c r="C100" s="79" t="s">
        <v>30</v>
      </c>
      <c r="D100" s="79" t="s">
        <v>10</v>
      </c>
      <c r="E100" s="79" t="s">
        <v>310</v>
      </c>
      <c r="F100" s="79"/>
      <c r="G100" s="70">
        <f>G101</f>
        <v>12079.42</v>
      </c>
      <c r="H100" s="81">
        <f t="shared" ref="H100:I100" si="40">H101</f>
        <v>20259.72</v>
      </c>
      <c r="I100" s="81">
        <f t="shared" si="40"/>
        <v>21070.67</v>
      </c>
      <c r="J100" s="137"/>
    </row>
    <row r="101" spans="1:18" ht="26.4" x14ac:dyDescent="0.25">
      <c r="A101" s="78" t="s">
        <v>21</v>
      </c>
      <c r="B101" s="120">
        <v>757</v>
      </c>
      <c r="C101" s="79" t="s">
        <v>30</v>
      </c>
      <c r="D101" s="79" t="s">
        <v>10</v>
      </c>
      <c r="E101" s="79" t="s">
        <v>310</v>
      </c>
      <c r="F101" s="79" t="s">
        <v>22</v>
      </c>
      <c r="G101" s="70">
        <f>G102</f>
        <v>12079.42</v>
      </c>
      <c r="H101" s="81">
        <f>H102</f>
        <v>20259.72</v>
      </c>
      <c r="I101" s="81">
        <f>I102</f>
        <v>21070.67</v>
      </c>
      <c r="J101" s="137"/>
    </row>
    <row r="102" spans="1:18" ht="19.5" customHeight="1" x14ac:dyDescent="0.25">
      <c r="A102" s="78" t="s">
        <v>23</v>
      </c>
      <c r="B102" s="120">
        <v>757</v>
      </c>
      <c r="C102" s="79" t="s">
        <v>30</v>
      </c>
      <c r="D102" s="79" t="s">
        <v>10</v>
      </c>
      <c r="E102" s="79" t="s">
        <v>310</v>
      </c>
      <c r="F102" s="79" t="s">
        <v>24</v>
      </c>
      <c r="G102" s="70">
        <f>17381-5301.58</f>
        <v>12079.42</v>
      </c>
      <c r="H102" s="81">
        <f>28259.72-8000</f>
        <v>20259.72</v>
      </c>
      <c r="I102" s="81">
        <f>29070.67-8000</f>
        <v>21070.67</v>
      </c>
      <c r="J102" s="137"/>
    </row>
    <row r="103" spans="1:18" x14ac:dyDescent="0.25">
      <c r="A103" s="78" t="s">
        <v>470</v>
      </c>
      <c r="B103" s="120">
        <v>757</v>
      </c>
      <c r="C103" s="79" t="s">
        <v>30</v>
      </c>
      <c r="D103" s="79" t="s">
        <v>10</v>
      </c>
      <c r="E103" s="79" t="s">
        <v>469</v>
      </c>
      <c r="F103" s="79"/>
      <c r="G103" s="70">
        <f>G104</f>
        <v>0</v>
      </c>
      <c r="H103" s="81">
        <f t="shared" ref="H103:I103" si="41">H104</f>
        <v>140000</v>
      </c>
      <c r="I103" s="81">
        <f t="shared" si="41"/>
        <v>140000</v>
      </c>
      <c r="J103" s="137"/>
    </row>
    <row r="104" spans="1:18" ht="26.4" x14ac:dyDescent="0.25">
      <c r="A104" s="78" t="s">
        <v>21</v>
      </c>
      <c r="B104" s="120">
        <v>757</v>
      </c>
      <c r="C104" s="79" t="s">
        <v>30</v>
      </c>
      <c r="D104" s="79" t="s">
        <v>10</v>
      </c>
      <c r="E104" s="79" t="s">
        <v>469</v>
      </c>
      <c r="F104" s="79" t="s">
        <v>22</v>
      </c>
      <c r="G104" s="70">
        <f>G105</f>
        <v>0</v>
      </c>
      <c r="H104" s="81">
        <f>H105</f>
        <v>140000</v>
      </c>
      <c r="I104" s="81">
        <f>I105</f>
        <v>140000</v>
      </c>
      <c r="J104" s="137"/>
    </row>
    <row r="105" spans="1:18" ht="19.5" customHeight="1" x14ac:dyDescent="0.25">
      <c r="A105" s="78" t="s">
        <v>23</v>
      </c>
      <c r="B105" s="120">
        <v>757</v>
      </c>
      <c r="C105" s="79" t="s">
        <v>30</v>
      </c>
      <c r="D105" s="79" t="s">
        <v>10</v>
      </c>
      <c r="E105" s="79" t="s">
        <v>469</v>
      </c>
      <c r="F105" s="79" t="s">
        <v>24</v>
      </c>
      <c r="G105" s="70"/>
      <c r="H105" s="70">
        <v>140000</v>
      </c>
      <c r="I105" s="70">
        <v>140000</v>
      </c>
      <c r="J105" s="137"/>
    </row>
    <row r="106" spans="1:18" s="28" customFormat="1" ht="22.5" customHeight="1" x14ac:dyDescent="0.25">
      <c r="A106" s="111" t="s">
        <v>37</v>
      </c>
      <c r="B106" s="120">
        <v>757</v>
      </c>
      <c r="C106" s="79" t="s">
        <v>30</v>
      </c>
      <c r="D106" s="79" t="s">
        <v>38</v>
      </c>
      <c r="E106" s="79"/>
      <c r="F106" s="79"/>
      <c r="G106" s="87">
        <f t="shared" ref="G106:I107" si="42">G107</f>
        <v>12369127.08</v>
      </c>
      <c r="H106" s="87">
        <f t="shared" si="42"/>
        <v>12491934.109999999</v>
      </c>
      <c r="I106" s="87">
        <f t="shared" si="42"/>
        <v>12634425.389999999</v>
      </c>
      <c r="J106" s="149"/>
      <c r="K106" s="156"/>
      <c r="L106" s="156"/>
      <c r="M106" s="156"/>
      <c r="N106" s="161"/>
      <c r="O106" s="156"/>
      <c r="P106" s="156"/>
      <c r="Q106" s="156"/>
      <c r="R106" s="156"/>
    </row>
    <row r="107" spans="1:18" ht="37.5" customHeight="1" x14ac:dyDescent="0.25">
      <c r="A107" s="16" t="s">
        <v>365</v>
      </c>
      <c r="B107" s="120">
        <v>757</v>
      </c>
      <c r="C107" s="79" t="s">
        <v>30</v>
      </c>
      <c r="D107" s="79" t="s">
        <v>38</v>
      </c>
      <c r="E107" s="79" t="s">
        <v>111</v>
      </c>
      <c r="F107" s="79"/>
      <c r="G107" s="86">
        <f t="shared" si="42"/>
        <v>12369127.08</v>
      </c>
      <c r="H107" s="86">
        <f t="shared" si="42"/>
        <v>12491934.109999999</v>
      </c>
      <c r="I107" s="86">
        <f t="shared" si="42"/>
        <v>12634425.389999999</v>
      </c>
      <c r="J107" s="150"/>
    </row>
    <row r="108" spans="1:18" s="28" customFormat="1" ht="26.4" x14ac:dyDescent="0.25">
      <c r="A108" s="13" t="s">
        <v>55</v>
      </c>
      <c r="B108" s="120">
        <v>757</v>
      </c>
      <c r="C108" s="79" t="s">
        <v>30</v>
      </c>
      <c r="D108" s="79" t="s">
        <v>38</v>
      </c>
      <c r="E108" s="79" t="s">
        <v>121</v>
      </c>
      <c r="F108" s="79"/>
      <c r="G108" s="86">
        <f>G109+G111</f>
        <v>12369127.08</v>
      </c>
      <c r="H108" s="29">
        <f t="shared" ref="H108:I108" si="43">H109+H111</f>
        <v>12491934.109999999</v>
      </c>
      <c r="I108" s="29">
        <f t="shared" si="43"/>
        <v>12634425.389999999</v>
      </c>
      <c r="J108" s="150"/>
      <c r="K108" s="156"/>
      <c r="L108" s="156"/>
      <c r="M108" s="156"/>
      <c r="N108" s="156"/>
      <c r="O108" s="156"/>
      <c r="P108" s="156"/>
      <c r="Q108" s="156"/>
      <c r="R108" s="156"/>
    </row>
    <row r="109" spans="1:18" s="32" customFormat="1" ht="66" x14ac:dyDescent="0.25">
      <c r="A109" s="16" t="s">
        <v>39</v>
      </c>
      <c r="B109" s="120">
        <v>757</v>
      </c>
      <c r="C109" s="79" t="s">
        <v>30</v>
      </c>
      <c r="D109" s="79" t="s">
        <v>38</v>
      </c>
      <c r="E109" s="79" t="s">
        <v>121</v>
      </c>
      <c r="F109" s="79" t="s">
        <v>41</v>
      </c>
      <c r="G109" s="81">
        <f>G110</f>
        <v>12138376</v>
      </c>
      <c r="H109" s="81">
        <f>H110</f>
        <v>12251952.99</v>
      </c>
      <c r="I109" s="81">
        <f>I110</f>
        <v>12384845.02</v>
      </c>
      <c r="J109" s="137"/>
      <c r="K109" s="155"/>
      <c r="L109" s="155"/>
      <c r="M109" s="155"/>
      <c r="N109" s="157"/>
      <c r="O109" s="155"/>
      <c r="P109" s="155"/>
      <c r="Q109" s="155"/>
      <c r="R109" s="155"/>
    </row>
    <row r="110" spans="1:18" s="32" customFormat="1" ht="26.4" x14ac:dyDescent="0.25">
      <c r="A110" s="16" t="s">
        <v>40</v>
      </c>
      <c r="B110" s="120">
        <v>757</v>
      </c>
      <c r="C110" s="79" t="s">
        <v>30</v>
      </c>
      <c r="D110" s="79" t="s">
        <v>38</v>
      </c>
      <c r="E110" s="79" t="s">
        <v>121</v>
      </c>
      <c r="F110" s="79" t="s">
        <v>42</v>
      </c>
      <c r="G110" s="81">
        <v>12138376</v>
      </c>
      <c r="H110" s="81">
        <v>12251952.99</v>
      </c>
      <c r="I110" s="81">
        <v>12384845.02</v>
      </c>
      <c r="J110" s="137"/>
      <c r="K110" s="155"/>
      <c r="L110" s="155"/>
      <c r="M110" s="155"/>
      <c r="N110" s="155"/>
      <c r="O110" s="155"/>
      <c r="P110" s="155"/>
      <c r="Q110" s="155"/>
      <c r="R110" s="155"/>
    </row>
    <row r="111" spans="1:18" s="32" customFormat="1" ht="28.5" customHeight="1" x14ac:dyDescent="0.25">
      <c r="A111" s="16" t="s">
        <v>25</v>
      </c>
      <c r="B111" s="120">
        <v>757</v>
      </c>
      <c r="C111" s="79" t="s">
        <v>30</v>
      </c>
      <c r="D111" s="79" t="s">
        <v>38</v>
      </c>
      <c r="E111" s="79" t="s">
        <v>121</v>
      </c>
      <c r="F111" s="79" t="s">
        <v>26</v>
      </c>
      <c r="G111" s="81">
        <f>G112</f>
        <v>230751.08</v>
      </c>
      <c r="H111" s="81">
        <f>H112</f>
        <v>239981.12</v>
      </c>
      <c r="I111" s="81">
        <f>I112</f>
        <v>249580.37</v>
      </c>
      <c r="J111" s="137"/>
      <c r="K111" s="155"/>
      <c r="L111" s="155"/>
      <c r="M111" s="155"/>
      <c r="N111" s="155"/>
      <c r="O111" s="155"/>
      <c r="P111" s="155"/>
      <c r="Q111" s="155"/>
      <c r="R111" s="155"/>
    </row>
    <row r="112" spans="1:18" s="32" customFormat="1" ht="26.4" x14ac:dyDescent="0.25">
      <c r="A112" s="16" t="s">
        <v>27</v>
      </c>
      <c r="B112" s="120">
        <v>757</v>
      </c>
      <c r="C112" s="79" t="s">
        <v>30</v>
      </c>
      <c r="D112" s="79" t="s">
        <v>38</v>
      </c>
      <c r="E112" s="79" t="s">
        <v>121</v>
      </c>
      <c r="F112" s="79" t="s">
        <v>28</v>
      </c>
      <c r="G112" s="81">
        <v>230751.08</v>
      </c>
      <c r="H112" s="70">
        <v>239981.12</v>
      </c>
      <c r="I112" s="70">
        <v>249580.37</v>
      </c>
      <c r="J112" s="137"/>
      <c r="K112" s="155"/>
      <c r="L112" s="155"/>
      <c r="M112" s="155"/>
      <c r="N112" s="155"/>
      <c r="O112" s="155"/>
      <c r="P112" s="155"/>
      <c r="Q112" s="155"/>
      <c r="R112" s="155"/>
    </row>
    <row r="113" spans="1:18" x14ac:dyDescent="0.25">
      <c r="A113" s="11" t="s">
        <v>84</v>
      </c>
      <c r="B113" s="192">
        <v>757</v>
      </c>
      <c r="C113" s="191" t="s">
        <v>48</v>
      </c>
      <c r="D113" s="191"/>
      <c r="E113" s="79"/>
      <c r="F113" s="191"/>
      <c r="G113" s="188">
        <f>G114</f>
        <v>3670531.2</v>
      </c>
      <c r="H113" s="188">
        <f t="shared" ref="H113:I113" si="44">H114</f>
        <v>0</v>
      </c>
      <c r="I113" s="188">
        <f t="shared" si="44"/>
        <v>0</v>
      </c>
      <c r="J113" s="147"/>
    </row>
    <row r="114" spans="1:18" x14ac:dyDescent="0.25">
      <c r="A114" s="13" t="s">
        <v>90</v>
      </c>
      <c r="B114" s="120">
        <v>757</v>
      </c>
      <c r="C114" s="79" t="s">
        <v>48</v>
      </c>
      <c r="D114" s="79" t="s">
        <v>38</v>
      </c>
      <c r="E114" s="79"/>
      <c r="F114" s="79"/>
      <c r="G114" s="81">
        <f>G115</f>
        <v>3670531.2</v>
      </c>
      <c r="H114" s="81">
        <f t="shared" ref="H114:I114" si="45">H115</f>
        <v>0</v>
      </c>
      <c r="I114" s="81">
        <f t="shared" si="45"/>
        <v>0</v>
      </c>
      <c r="J114" s="137"/>
    </row>
    <row r="115" spans="1:18" s="32" customFormat="1" ht="30.75" customHeight="1" x14ac:dyDescent="0.25">
      <c r="A115" s="214" t="s">
        <v>357</v>
      </c>
      <c r="B115" s="120">
        <v>757</v>
      </c>
      <c r="C115" s="79" t="s">
        <v>48</v>
      </c>
      <c r="D115" s="79" t="s">
        <v>38</v>
      </c>
      <c r="E115" s="79" t="s">
        <v>122</v>
      </c>
      <c r="F115" s="79"/>
      <c r="G115" s="81">
        <f>G116</f>
        <v>3670531.2</v>
      </c>
      <c r="H115" s="70">
        <f t="shared" ref="H115:I115" si="46">H116</f>
        <v>0</v>
      </c>
      <c r="I115" s="70">
        <f t="shared" si="46"/>
        <v>0</v>
      </c>
      <c r="J115" s="137"/>
      <c r="K115" s="155"/>
      <c r="L115" s="155"/>
      <c r="M115" s="155"/>
      <c r="N115" s="155"/>
      <c r="O115" s="155"/>
      <c r="P115" s="155"/>
      <c r="Q115" s="155"/>
      <c r="R115" s="155"/>
    </row>
    <row r="116" spans="1:18" ht="33" customHeight="1" x14ac:dyDescent="0.25">
      <c r="A116" s="16" t="s">
        <v>106</v>
      </c>
      <c r="B116" s="120">
        <v>757</v>
      </c>
      <c r="C116" s="79" t="s">
        <v>48</v>
      </c>
      <c r="D116" s="79" t="s">
        <v>38</v>
      </c>
      <c r="E116" s="79" t="s">
        <v>242</v>
      </c>
      <c r="F116" s="79"/>
      <c r="G116" s="81">
        <f t="shared" ref="G116:I117" si="47">G117</f>
        <v>3670531.2</v>
      </c>
      <c r="H116" s="81">
        <f t="shared" si="47"/>
        <v>0</v>
      </c>
      <c r="I116" s="81">
        <f t="shared" si="47"/>
        <v>0</v>
      </c>
      <c r="J116" s="137"/>
    </row>
    <row r="117" spans="1:18" ht="33" customHeight="1" x14ac:dyDescent="0.25">
      <c r="A117" s="16" t="s">
        <v>86</v>
      </c>
      <c r="B117" s="120">
        <v>757</v>
      </c>
      <c r="C117" s="79" t="s">
        <v>48</v>
      </c>
      <c r="D117" s="79" t="s">
        <v>38</v>
      </c>
      <c r="E117" s="79" t="s">
        <v>242</v>
      </c>
      <c r="F117" s="79" t="s">
        <v>87</v>
      </c>
      <c r="G117" s="81">
        <f t="shared" si="47"/>
        <v>3670531.2</v>
      </c>
      <c r="H117" s="81">
        <f t="shared" si="47"/>
        <v>0</v>
      </c>
      <c r="I117" s="81">
        <f t="shared" si="47"/>
        <v>0</v>
      </c>
      <c r="J117" s="137"/>
    </row>
    <row r="118" spans="1:18" ht="33" customHeight="1" x14ac:dyDescent="0.25">
      <c r="A118" s="16" t="s">
        <v>88</v>
      </c>
      <c r="B118" s="120">
        <v>757</v>
      </c>
      <c r="C118" s="79" t="s">
        <v>48</v>
      </c>
      <c r="D118" s="79" t="s">
        <v>38</v>
      </c>
      <c r="E118" s="79" t="s">
        <v>242</v>
      </c>
      <c r="F118" s="79" t="s">
        <v>89</v>
      </c>
      <c r="G118" s="81">
        <v>3670531.2</v>
      </c>
      <c r="H118" s="81"/>
      <c r="I118" s="81"/>
      <c r="J118" s="137"/>
    </row>
    <row r="119" spans="1:18" s="32" customFormat="1" ht="17.25" customHeight="1" x14ac:dyDescent="0.25">
      <c r="A119" s="5" t="s">
        <v>226</v>
      </c>
      <c r="B119" s="125">
        <v>757</v>
      </c>
      <c r="C119" s="126" t="s">
        <v>51</v>
      </c>
      <c r="D119" s="126"/>
      <c r="E119" s="126"/>
      <c r="F119" s="126"/>
      <c r="G119" s="127">
        <f>G120</f>
        <v>315500</v>
      </c>
      <c r="H119" s="71">
        <f t="shared" ref="H119:I119" si="48">H120</f>
        <v>329500</v>
      </c>
      <c r="I119" s="71">
        <f t="shared" si="48"/>
        <v>343500</v>
      </c>
      <c r="J119" s="151"/>
      <c r="K119" s="155"/>
      <c r="L119" s="155"/>
      <c r="M119" s="155"/>
      <c r="N119" s="157"/>
      <c r="O119" s="155"/>
      <c r="P119" s="155"/>
      <c r="Q119" s="155"/>
      <c r="R119" s="155"/>
    </row>
    <row r="120" spans="1:18" s="33" customFormat="1" ht="15" customHeight="1" x14ac:dyDescent="0.25">
      <c r="A120" s="16" t="s">
        <v>50</v>
      </c>
      <c r="B120" s="120">
        <v>757</v>
      </c>
      <c r="C120" s="79" t="s">
        <v>51</v>
      </c>
      <c r="D120" s="79" t="s">
        <v>19</v>
      </c>
      <c r="E120" s="133"/>
      <c r="F120" s="133"/>
      <c r="G120" s="29">
        <f>G121</f>
        <v>315500</v>
      </c>
      <c r="H120" s="86">
        <f t="shared" ref="H120:I121" si="49">H121</f>
        <v>329500</v>
      </c>
      <c r="I120" s="86">
        <f t="shared" si="49"/>
        <v>343500</v>
      </c>
      <c r="J120" s="150"/>
      <c r="K120" s="162"/>
      <c r="L120" s="162"/>
      <c r="M120" s="162"/>
      <c r="N120" s="162"/>
      <c r="O120" s="162"/>
      <c r="P120" s="162"/>
      <c r="Q120" s="162"/>
      <c r="R120" s="162"/>
    </row>
    <row r="121" spans="1:18" s="28" customFormat="1" ht="39.75" customHeight="1" x14ac:dyDescent="0.25">
      <c r="A121" s="37" t="s">
        <v>366</v>
      </c>
      <c r="B121" s="120">
        <v>757</v>
      </c>
      <c r="C121" s="79" t="s">
        <v>51</v>
      </c>
      <c r="D121" s="79" t="s">
        <v>19</v>
      </c>
      <c r="E121" s="79" t="s">
        <v>113</v>
      </c>
      <c r="F121" s="79"/>
      <c r="G121" s="70">
        <f>G122</f>
        <v>315500</v>
      </c>
      <c r="H121" s="70">
        <f t="shared" si="49"/>
        <v>329500</v>
      </c>
      <c r="I121" s="70">
        <f t="shared" si="49"/>
        <v>343500</v>
      </c>
      <c r="J121" s="137"/>
      <c r="K121" s="156"/>
      <c r="L121" s="156"/>
      <c r="M121" s="156"/>
      <c r="N121" s="156"/>
      <c r="O121" s="156"/>
      <c r="P121" s="156"/>
      <c r="Q121" s="156"/>
      <c r="R121" s="156"/>
    </row>
    <row r="122" spans="1:18" s="28" customFormat="1" ht="27.75" customHeight="1" x14ac:dyDescent="0.25">
      <c r="A122" s="114" t="s">
        <v>52</v>
      </c>
      <c r="B122" s="120">
        <v>757</v>
      </c>
      <c r="C122" s="79" t="s">
        <v>51</v>
      </c>
      <c r="D122" s="79" t="s">
        <v>19</v>
      </c>
      <c r="E122" s="79" t="s">
        <v>123</v>
      </c>
      <c r="F122" s="79"/>
      <c r="G122" s="70">
        <f>G123</f>
        <v>315500</v>
      </c>
      <c r="H122" s="81">
        <f t="shared" ref="H122:I122" si="50">H123</f>
        <v>329500</v>
      </c>
      <c r="I122" s="81">
        <f t="shared" si="50"/>
        <v>343500</v>
      </c>
      <c r="J122" s="137"/>
      <c r="K122" s="156"/>
      <c r="L122" s="156"/>
      <c r="M122" s="156"/>
      <c r="N122" s="156"/>
      <c r="O122" s="156"/>
      <c r="P122" s="156"/>
      <c r="Q122" s="156"/>
      <c r="R122" s="156"/>
    </row>
    <row r="123" spans="1:18" s="32" customFormat="1" ht="28.5" customHeight="1" x14ac:dyDescent="0.25">
      <c r="A123" s="78" t="s">
        <v>25</v>
      </c>
      <c r="B123" s="120">
        <v>757</v>
      </c>
      <c r="C123" s="79" t="s">
        <v>51</v>
      </c>
      <c r="D123" s="79" t="s">
        <v>19</v>
      </c>
      <c r="E123" s="79" t="s">
        <v>123</v>
      </c>
      <c r="F123" s="79" t="s">
        <v>26</v>
      </c>
      <c r="G123" s="70">
        <f>G124</f>
        <v>315500</v>
      </c>
      <c r="H123" s="81">
        <f>H124</f>
        <v>329500</v>
      </c>
      <c r="I123" s="81">
        <f>I124</f>
        <v>343500</v>
      </c>
      <c r="J123" s="137"/>
      <c r="K123" s="155"/>
      <c r="L123" s="155"/>
      <c r="M123" s="155"/>
      <c r="N123" s="155"/>
      <c r="O123" s="155"/>
      <c r="P123" s="155"/>
      <c r="Q123" s="155"/>
      <c r="R123" s="155"/>
    </row>
    <row r="124" spans="1:18" s="32" customFormat="1" ht="26.4" x14ac:dyDescent="0.25">
      <c r="A124" s="78" t="s">
        <v>27</v>
      </c>
      <c r="B124" s="120">
        <v>757</v>
      </c>
      <c r="C124" s="79" t="s">
        <v>51</v>
      </c>
      <c r="D124" s="79" t="s">
        <v>19</v>
      </c>
      <c r="E124" s="79" t="s">
        <v>123</v>
      </c>
      <c r="F124" s="79" t="s">
        <v>28</v>
      </c>
      <c r="G124" s="70">
        <v>315500</v>
      </c>
      <c r="H124" s="81">
        <v>329500</v>
      </c>
      <c r="I124" s="81">
        <v>343500</v>
      </c>
      <c r="J124" s="137"/>
      <c r="K124" s="157"/>
      <c r="L124" s="155"/>
      <c r="M124" s="155"/>
      <c r="N124" s="155"/>
      <c r="O124" s="155"/>
      <c r="P124" s="155"/>
      <c r="Q124" s="155"/>
      <c r="R124" s="155"/>
    </row>
    <row r="125" spans="1:18" s="106" customFormat="1" x14ac:dyDescent="0.25">
      <c r="A125" s="260" t="s">
        <v>53</v>
      </c>
      <c r="B125" s="258"/>
      <c r="C125" s="261"/>
      <c r="D125" s="261"/>
      <c r="E125" s="261"/>
      <c r="F125" s="261"/>
      <c r="G125" s="259">
        <f>G9+G15+G49+G113+G119</f>
        <v>239857383.37</v>
      </c>
      <c r="H125" s="259">
        <f>H9+H15+H49+H113+H119</f>
        <v>245774581.87</v>
      </c>
      <c r="I125" s="259">
        <f>I9+I15+I49+I113+I119</f>
        <v>255103773.21999997</v>
      </c>
      <c r="J125" s="148" t="e">
        <f>G14+G20+G26+G29+G32+#REF!+G48+G60+G61+#REF!+G64+G67+G82+G85+G86+G89+G90+G93+G96+G99+G102+#REF!+#REF!+#REF!+#REF!+#REF!+#REF!+#REF!+#REF!+#REF!+G110+G112+G124+77893.78+#REF!+1224542.03</f>
        <v>#REF!</v>
      </c>
      <c r="K125" s="159"/>
      <c r="L125" s="158"/>
      <c r="M125" s="158"/>
      <c r="N125" s="159"/>
      <c r="O125" s="159">
        <f>I54</f>
        <v>0</v>
      </c>
      <c r="P125" s="158"/>
      <c r="Q125" s="158"/>
      <c r="R125" s="158"/>
    </row>
    <row r="126" spans="1:18" s="229" customFormat="1" ht="53.25" customHeight="1" x14ac:dyDescent="0.25">
      <c r="A126" s="238" t="s">
        <v>406</v>
      </c>
      <c r="B126" s="239">
        <v>763</v>
      </c>
      <c r="C126" s="240"/>
      <c r="D126" s="240"/>
      <c r="E126" s="240"/>
      <c r="F126" s="240"/>
      <c r="G126" s="241"/>
      <c r="H126" s="241"/>
      <c r="I126" s="241"/>
      <c r="J126" s="199"/>
      <c r="K126" s="228"/>
      <c r="L126" s="228"/>
      <c r="M126" s="228"/>
      <c r="N126" s="228"/>
      <c r="O126" s="228"/>
      <c r="P126" s="228"/>
      <c r="Q126" s="228"/>
      <c r="R126" s="228"/>
    </row>
    <row r="127" spans="1:18" x14ac:dyDescent="0.25">
      <c r="A127" s="193" t="s">
        <v>9</v>
      </c>
      <c r="B127" s="190">
        <v>763</v>
      </c>
      <c r="C127" s="191" t="s">
        <v>10</v>
      </c>
      <c r="D127" s="191"/>
      <c r="E127" s="191"/>
      <c r="F127" s="191"/>
      <c r="G127" s="188">
        <f>G128+G135</f>
        <v>23367197</v>
      </c>
      <c r="H127" s="188">
        <f>H128+H135</f>
        <v>22565924</v>
      </c>
      <c r="I127" s="188">
        <f>I128+I135</f>
        <v>22766638</v>
      </c>
      <c r="J127" s="147"/>
    </row>
    <row r="128" spans="1:18" s="33" customFormat="1" ht="52.8" x14ac:dyDescent="0.25">
      <c r="A128" s="78" t="s">
        <v>54</v>
      </c>
      <c r="B128" s="120">
        <v>763</v>
      </c>
      <c r="C128" s="79" t="s">
        <v>10</v>
      </c>
      <c r="D128" s="79" t="s">
        <v>38</v>
      </c>
      <c r="E128" s="79"/>
      <c r="F128" s="133"/>
      <c r="G128" s="81">
        <f>SUM(G129)</f>
        <v>20701918</v>
      </c>
      <c r="H128" s="81">
        <f>SUM(H129)</f>
        <v>20900645</v>
      </c>
      <c r="I128" s="81">
        <f>SUM(I129)</f>
        <v>21101359</v>
      </c>
      <c r="J128" s="137"/>
      <c r="K128" s="162"/>
      <c r="L128" s="162"/>
      <c r="M128" s="162"/>
      <c r="N128" s="162"/>
      <c r="O128" s="162"/>
      <c r="P128" s="162"/>
      <c r="Q128" s="162"/>
      <c r="R128" s="162"/>
    </row>
    <row r="129" spans="1:18" s="33" customFormat="1" ht="32.25" customHeight="1" x14ac:dyDescent="0.25">
      <c r="A129" s="16" t="s">
        <v>358</v>
      </c>
      <c r="B129" s="120">
        <v>763</v>
      </c>
      <c r="C129" s="79" t="s">
        <v>10</v>
      </c>
      <c r="D129" s="79" t="s">
        <v>38</v>
      </c>
      <c r="E129" s="79" t="s">
        <v>124</v>
      </c>
      <c r="F129" s="133"/>
      <c r="G129" s="81">
        <f>G130</f>
        <v>20701918</v>
      </c>
      <c r="H129" s="81">
        <f>H130</f>
        <v>20900645</v>
      </c>
      <c r="I129" s="81">
        <f>I130</f>
        <v>21101359</v>
      </c>
      <c r="J129" s="137"/>
      <c r="K129" s="162"/>
      <c r="L129" s="162"/>
      <c r="M129" s="162"/>
      <c r="N129" s="162"/>
      <c r="O129" s="162"/>
      <c r="P129" s="162"/>
      <c r="Q129" s="162"/>
      <c r="R129" s="162"/>
    </row>
    <row r="130" spans="1:18" s="33" customFormat="1" ht="26.4" x14ac:dyDescent="0.25">
      <c r="A130" s="16" t="s">
        <v>55</v>
      </c>
      <c r="B130" s="120">
        <v>763</v>
      </c>
      <c r="C130" s="79" t="s">
        <v>10</v>
      </c>
      <c r="D130" s="79" t="s">
        <v>38</v>
      </c>
      <c r="E130" s="79" t="s">
        <v>125</v>
      </c>
      <c r="F130" s="133"/>
      <c r="G130" s="81">
        <f>G131+G134</f>
        <v>20701918</v>
      </c>
      <c r="H130" s="81">
        <f t="shared" ref="H130:I130" si="51">H131+H134</f>
        <v>20900645</v>
      </c>
      <c r="I130" s="81">
        <f t="shared" si="51"/>
        <v>21101359</v>
      </c>
      <c r="J130" s="137"/>
      <c r="K130" s="162"/>
      <c r="L130" s="162"/>
      <c r="M130" s="162"/>
      <c r="N130" s="162"/>
      <c r="O130" s="162"/>
      <c r="P130" s="162"/>
      <c r="Q130" s="162"/>
      <c r="R130" s="162"/>
    </row>
    <row r="131" spans="1:18" ht="66" x14ac:dyDescent="0.25">
      <c r="A131" s="16" t="s">
        <v>39</v>
      </c>
      <c r="B131" s="120">
        <v>763</v>
      </c>
      <c r="C131" s="79" t="s">
        <v>10</v>
      </c>
      <c r="D131" s="79" t="s">
        <v>38</v>
      </c>
      <c r="E131" s="79" t="s">
        <v>125</v>
      </c>
      <c r="F131" s="79" t="s">
        <v>41</v>
      </c>
      <c r="G131" s="81">
        <f>SUM(G132)</f>
        <v>19953710</v>
      </c>
      <c r="H131" s="81">
        <f>SUM(H132)</f>
        <v>20152437</v>
      </c>
      <c r="I131" s="81">
        <f>SUM(I132)</f>
        <v>20353151</v>
      </c>
      <c r="J131" s="137"/>
    </row>
    <row r="132" spans="1:18" ht="26.4" x14ac:dyDescent="0.25">
      <c r="A132" s="16" t="s">
        <v>40</v>
      </c>
      <c r="B132" s="120">
        <v>763</v>
      </c>
      <c r="C132" s="79" t="s">
        <v>10</v>
      </c>
      <c r="D132" s="79" t="s">
        <v>38</v>
      </c>
      <c r="E132" s="79" t="s">
        <v>125</v>
      </c>
      <c r="F132" s="79" t="s">
        <v>42</v>
      </c>
      <c r="G132" s="81">
        <v>19953710</v>
      </c>
      <c r="H132" s="81">
        <v>20152437</v>
      </c>
      <c r="I132" s="81">
        <v>20353151</v>
      </c>
      <c r="J132" s="137"/>
    </row>
    <row r="133" spans="1:18" ht="26.4" x14ac:dyDescent="0.25">
      <c r="A133" s="16" t="s">
        <v>25</v>
      </c>
      <c r="B133" s="120">
        <v>763</v>
      </c>
      <c r="C133" s="79" t="s">
        <v>10</v>
      </c>
      <c r="D133" s="79" t="s">
        <v>38</v>
      </c>
      <c r="E133" s="79" t="s">
        <v>125</v>
      </c>
      <c r="F133" s="79" t="s">
        <v>26</v>
      </c>
      <c r="G133" s="81">
        <f>SUM(G134)</f>
        <v>748208</v>
      </c>
      <c r="H133" s="81">
        <f>SUM(H134)</f>
        <v>748208</v>
      </c>
      <c r="I133" s="81">
        <f>SUM(I134)</f>
        <v>748208</v>
      </c>
      <c r="J133" s="137"/>
    </row>
    <row r="134" spans="1:18" ht="26.4" x14ac:dyDescent="0.25">
      <c r="A134" s="16" t="s">
        <v>27</v>
      </c>
      <c r="B134" s="120">
        <v>763</v>
      </c>
      <c r="C134" s="79" t="s">
        <v>10</v>
      </c>
      <c r="D134" s="79" t="s">
        <v>38</v>
      </c>
      <c r="E134" s="79" t="s">
        <v>125</v>
      </c>
      <c r="F134" s="79" t="s">
        <v>28</v>
      </c>
      <c r="G134" s="81">
        <v>748208</v>
      </c>
      <c r="H134" s="81">
        <v>748208</v>
      </c>
      <c r="I134" s="81">
        <v>748208</v>
      </c>
      <c r="J134" s="137"/>
    </row>
    <row r="135" spans="1:18" ht="18.75" customHeight="1" x14ac:dyDescent="0.25">
      <c r="A135" s="40" t="s">
        <v>13</v>
      </c>
      <c r="B135" s="120">
        <v>763</v>
      </c>
      <c r="C135" s="79" t="s">
        <v>10</v>
      </c>
      <c r="D135" s="79" t="s">
        <v>14</v>
      </c>
      <c r="E135" s="79"/>
      <c r="F135" s="79"/>
      <c r="G135" s="81">
        <f>G136</f>
        <v>2665279</v>
      </c>
      <c r="H135" s="81">
        <f t="shared" ref="H135:I135" si="52">H136</f>
        <v>1665279</v>
      </c>
      <c r="I135" s="81">
        <f t="shared" si="52"/>
        <v>1665279</v>
      </c>
      <c r="J135" s="137"/>
    </row>
    <row r="136" spans="1:18" ht="39.75" customHeight="1" x14ac:dyDescent="0.25">
      <c r="A136" s="16" t="s">
        <v>358</v>
      </c>
      <c r="B136" s="120">
        <v>763</v>
      </c>
      <c r="C136" s="79" t="s">
        <v>10</v>
      </c>
      <c r="D136" s="79" t="s">
        <v>14</v>
      </c>
      <c r="E136" s="79" t="s">
        <v>124</v>
      </c>
      <c r="F136" s="79"/>
      <c r="G136" s="81">
        <f>G137+G142</f>
        <v>2665279</v>
      </c>
      <c r="H136" s="81">
        <f t="shared" ref="H136:I136" si="53">H137+H142</f>
        <v>1665279</v>
      </c>
      <c r="I136" s="81">
        <f t="shared" si="53"/>
        <v>1665279</v>
      </c>
      <c r="J136" s="137"/>
      <c r="N136" s="160"/>
    </row>
    <row r="137" spans="1:18" ht="41.25" customHeight="1" x14ac:dyDescent="0.25">
      <c r="A137" s="78" t="s">
        <v>299</v>
      </c>
      <c r="B137" s="120">
        <v>763</v>
      </c>
      <c r="C137" s="79" t="s">
        <v>10</v>
      </c>
      <c r="D137" s="79" t="s">
        <v>14</v>
      </c>
      <c r="E137" s="79" t="s">
        <v>126</v>
      </c>
      <c r="F137" s="79"/>
      <c r="G137" s="81">
        <f>G138+G140</f>
        <v>1665279</v>
      </c>
      <c r="H137" s="81">
        <f t="shared" ref="H137:I137" si="54">H138+H140</f>
        <v>1665279</v>
      </c>
      <c r="I137" s="81">
        <f t="shared" si="54"/>
        <v>1665279</v>
      </c>
      <c r="J137" s="137"/>
      <c r="P137" s="169"/>
    </row>
    <row r="138" spans="1:18" ht="27.75" customHeight="1" x14ac:dyDescent="0.25">
      <c r="A138" s="78" t="s">
        <v>25</v>
      </c>
      <c r="B138" s="120">
        <v>763</v>
      </c>
      <c r="C138" s="79" t="s">
        <v>10</v>
      </c>
      <c r="D138" s="79" t="s">
        <v>14</v>
      </c>
      <c r="E138" s="79" t="s">
        <v>126</v>
      </c>
      <c r="F138" s="79" t="s">
        <v>26</v>
      </c>
      <c r="G138" s="81">
        <f t="shared" ref="G138:I138" si="55">G139</f>
        <v>1606119</v>
      </c>
      <c r="H138" s="81">
        <f t="shared" si="55"/>
        <v>1606119</v>
      </c>
      <c r="I138" s="81">
        <f t="shared" si="55"/>
        <v>1606119</v>
      </c>
      <c r="J138" s="137"/>
    </row>
    <row r="139" spans="1:18" ht="28.5" customHeight="1" x14ac:dyDescent="0.25">
      <c r="A139" s="78" t="s">
        <v>27</v>
      </c>
      <c r="B139" s="120">
        <v>763</v>
      </c>
      <c r="C139" s="79" t="s">
        <v>10</v>
      </c>
      <c r="D139" s="79" t="s">
        <v>14</v>
      </c>
      <c r="E139" s="79" t="s">
        <v>126</v>
      </c>
      <c r="F139" s="79" t="s">
        <v>28</v>
      </c>
      <c r="G139" s="81">
        <f>1206119+400000</f>
        <v>1606119</v>
      </c>
      <c r="H139" s="81">
        <f>1206119+400000</f>
        <v>1606119</v>
      </c>
      <c r="I139" s="81">
        <f>400000+1206119</f>
        <v>1606119</v>
      </c>
      <c r="J139" s="137"/>
    </row>
    <row r="140" spans="1:18" x14ac:dyDescent="0.25">
      <c r="A140" s="78" t="s">
        <v>43</v>
      </c>
      <c r="B140" s="120">
        <v>763</v>
      </c>
      <c r="C140" s="79" t="s">
        <v>10</v>
      </c>
      <c r="D140" s="79" t="s">
        <v>14</v>
      </c>
      <c r="E140" s="79" t="s">
        <v>126</v>
      </c>
      <c r="F140" s="79" t="s">
        <v>44</v>
      </c>
      <c r="G140" s="81">
        <f>G141</f>
        <v>59160</v>
      </c>
      <c r="H140" s="81">
        <f t="shared" ref="H140:I140" si="56">H141</f>
        <v>59160</v>
      </c>
      <c r="I140" s="81">
        <f t="shared" si="56"/>
        <v>59160</v>
      </c>
      <c r="J140" s="137"/>
      <c r="K140" s="160"/>
    </row>
    <row r="141" spans="1:18" ht="15" customHeight="1" x14ac:dyDescent="0.25">
      <c r="A141" s="78" t="s">
        <v>83</v>
      </c>
      <c r="B141" s="120">
        <v>763</v>
      </c>
      <c r="C141" s="79" t="s">
        <v>10</v>
      </c>
      <c r="D141" s="79" t="s">
        <v>14</v>
      </c>
      <c r="E141" s="79" t="s">
        <v>126</v>
      </c>
      <c r="F141" s="79" t="s">
        <v>46</v>
      </c>
      <c r="G141" s="81">
        <v>59160</v>
      </c>
      <c r="H141" s="81">
        <v>59160</v>
      </c>
      <c r="I141" s="81">
        <v>59160</v>
      </c>
      <c r="J141" s="137"/>
      <c r="K141" s="160"/>
    </row>
    <row r="142" spans="1:18" s="3" customFormat="1" ht="61.5" customHeight="1" x14ac:dyDescent="0.25">
      <c r="A142" s="78" t="s">
        <v>519</v>
      </c>
      <c r="B142" s="120">
        <v>763</v>
      </c>
      <c r="C142" s="79" t="s">
        <v>10</v>
      </c>
      <c r="D142" s="79" t="s">
        <v>14</v>
      </c>
      <c r="E142" s="79" t="s">
        <v>520</v>
      </c>
      <c r="F142" s="79"/>
      <c r="G142" s="81">
        <f t="shared" ref="G142:I143" si="57">G143</f>
        <v>1000000</v>
      </c>
      <c r="H142" s="81">
        <f t="shared" si="57"/>
        <v>0</v>
      </c>
      <c r="I142" s="81">
        <f t="shared" si="57"/>
        <v>0</v>
      </c>
      <c r="J142" s="137"/>
      <c r="K142" s="153"/>
      <c r="L142" s="153"/>
      <c r="M142" s="153"/>
      <c r="N142" s="153"/>
      <c r="O142" s="153"/>
      <c r="P142" s="153"/>
      <c r="Q142" s="153"/>
      <c r="R142" s="153"/>
    </row>
    <row r="143" spans="1:18" s="3" customFormat="1" ht="26.4" x14ac:dyDescent="0.25">
      <c r="A143" s="16" t="s">
        <v>25</v>
      </c>
      <c r="B143" s="120">
        <v>763</v>
      </c>
      <c r="C143" s="79" t="s">
        <v>10</v>
      </c>
      <c r="D143" s="79" t="s">
        <v>14</v>
      </c>
      <c r="E143" s="79" t="s">
        <v>520</v>
      </c>
      <c r="F143" s="79" t="s">
        <v>26</v>
      </c>
      <c r="G143" s="81">
        <f t="shared" si="57"/>
        <v>1000000</v>
      </c>
      <c r="H143" s="81">
        <f t="shared" si="57"/>
        <v>0</v>
      </c>
      <c r="I143" s="81">
        <f t="shared" si="57"/>
        <v>0</v>
      </c>
      <c r="J143" s="137"/>
      <c r="K143" s="153"/>
      <c r="L143" s="153"/>
      <c r="M143" s="153"/>
      <c r="N143" s="153"/>
      <c r="O143" s="153"/>
      <c r="P143" s="153"/>
      <c r="Q143" s="153"/>
      <c r="R143" s="153"/>
    </row>
    <row r="144" spans="1:18" s="3" customFormat="1" ht="26.4" x14ac:dyDescent="0.25">
      <c r="A144" s="16" t="s">
        <v>27</v>
      </c>
      <c r="B144" s="120">
        <v>763</v>
      </c>
      <c r="C144" s="79" t="s">
        <v>10</v>
      </c>
      <c r="D144" s="79" t="s">
        <v>14</v>
      </c>
      <c r="E144" s="79" t="s">
        <v>520</v>
      </c>
      <c r="F144" s="79" t="s">
        <v>28</v>
      </c>
      <c r="G144" s="81">
        <v>1000000</v>
      </c>
      <c r="H144" s="81">
        <v>0</v>
      </c>
      <c r="I144" s="81">
        <v>0</v>
      </c>
      <c r="J144" s="137" t="e">
        <f>G144+#REF!</f>
        <v>#REF!</v>
      </c>
      <c r="K144" s="153"/>
      <c r="L144" s="153"/>
      <c r="M144" s="153"/>
      <c r="N144" s="153"/>
      <c r="O144" s="153"/>
      <c r="P144" s="153"/>
      <c r="Q144" s="153"/>
      <c r="R144" s="153"/>
    </row>
    <row r="145" spans="1:18" x14ac:dyDescent="0.25">
      <c r="A145" s="189" t="s">
        <v>62</v>
      </c>
      <c r="B145" s="190">
        <v>763</v>
      </c>
      <c r="C145" s="191" t="s">
        <v>38</v>
      </c>
      <c r="D145" s="191"/>
      <c r="E145" s="191"/>
      <c r="F145" s="191"/>
      <c r="G145" s="188">
        <f>G146</f>
        <v>1070000</v>
      </c>
      <c r="H145" s="188">
        <f t="shared" ref="H145:I145" si="58">H146</f>
        <v>1070000</v>
      </c>
      <c r="I145" s="188">
        <f t="shared" si="58"/>
        <v>1070000</v>
      </c>
      <c r="J145" s="147"/>
    </row>
    <row r="146" spans="1:18" x14ac:dyDescent="0.25">
      <c r="A146" s="78" t="s">
        <v>63</v>
      </c>
      <c r="B146" s="120">
        <v>763</v>
      </c>
      <c r="C146" s="79" t="s">
        <v>38</v>
      </c>
      <c r="D146" s="79" t="s">
        <v>64</v>
      </c>
      <c r="E146" s="79"/>
      <c r="F146" s="79"/>
      <c r="G146" s="81">
        <f>G147</f>
        <v>1070000</v>
      </c>
      <c r="H146" s="81">
        <f>H147</f>
        <v>1070000</v>
      </c>
      <c r="I146" s="81">
        <f>I147</f>
        <v>1070000</v>
      </c>
      <c r="J146" s="137"/>
    </row>
    <row r="147" spans="1:18" ht="30.75" customHeight="1" x14ac:dyDescent="0.25">
      <c r="A147" s="16" t="s">
        <v>358</v>
      </c>
      <c r="B147" s="120">
        <v>763</v>
      </c>
      <c r="C147" s="79" t="s">
        <v>38</v>
      </c>
      <c r="D147" s="79" t="s">
        <v>64</v>
      </c>
      <c r="E147" s="79" t="s">
        <v>124</v>
      </c>
      <c r="F147" s="79"/>
      <c r="G147" s="81">
        <f>G148+G151</f>
        <v>1070000</v>
      </c>
      <c r="H147" s="81">
        <f t="shared" ref="H147:I147" si="59">H148+H151</f>
        <v>1070000</v>
      </c>
      <c r="I147" s="81">
        <f t="shared" si="59"/>
        <v>1070000</v>
      </c>
      <c r="J147" s="137"/>
    </row>
    <row r="148" spans="1:18" ht="116.25" customHeight="1" x14ac:dyDescent="0.25">
      <c r="A148" s="16" t="s">
        <v>402</v>
      </c>
      <c r="B148" s="120">
        <v>763</v>
      </c>
      <c r="C148" s="79" t="s">
        <v>38</v>
      </c>
      <c r="D148" s="79" t="s">
        <v>64</v>
      </c>
      <c r="E148" s="79" t="s">
        <v>129</v>
      </c>
      <c r="F148" s="79"/>
      <c r="G148" s="81">
        <f>G149</f>
        <v>800000</v>
      </c>
      <c r="H148" s="81">
        <f t="shared" ref="H148:I148" si="60">H149</f>
        <v>800000</v>
      </c>
      <c r="I148" s="81">
        <f t="shared" si="60"/>
        <v>800000</v>
      </c>
      <c r="J148" s="137"/>
    </row>
    <row r="149" spans="1:18" ht="26.4" x14ac:dyDescent="0.25">
      <c r="A149" s="16" t="s">
        <v>25</v>
      </c>
      <c r="B149" s="120">
        <v>763</v>
      </c>
      <c r="C149" s="79" t="s">
        <v>38</v>
      </c>
      <c r="D149" s="79" t="s">
        <v>64</v>
      </c>
      <c r="E149" s="79" t="s">
        <v>129</v>
      </c>
      <c r="F149" s="79" t="s">
        <v>26</v>
      </c>
      <c r="G149" s="81">
        <f>SUM(G150)</f>
        <v>800000</v>
      </c>
      <c r="H149" s="81">
        <f>SUM(H150)</f>
        <v>800000</v>
      </c>
      <c r="I149" s="81">
        <f>SUM(I150)</f>
        <v>800000</v>
      </c>
      <c r="J149" s="137"/>
    </row>
    <row r="150" spans="1:18" ht="30.75" customHeight="1" x14ac:dyDescent="0.25">
      <c r="A150" s="16" t="s">
        <v>27</v>
      </c>
      <c r="B150" s="120">
        <v>763</v>
      </c>
      <c r="C150" s="79" t="s">
        <v>38</v>
      </c>
      <c r="D150" s="79" t="s">
        <v>64</v>
      </c>
      <c r="E150" s="79" t="s">
        <v>129</v>
      </c>
      <c r="F150" s="79" t="s">
        <v>28</v>
      </c>
      <c r="G150" s="81">
        <v>800000</v>
      </c>
      <c r="H150" s="81">
        <v>800000</v>
      </c>
      <c r="I150" s="81">
        <v>800000</v>
      </c>
      <c r="J150" s="137"/>
    </row>
    <row r="151" spans="1:18" ht="107.25" customHeight="1" x14ac:dyDescent="0.25">
      <c r="A151" s="30" t="s">
        <v>403</v>
      </c>
      <c r="B151" s="120">
        <v>763</v>
      </c>
      <c r="C151" s="79" t="s">
        <v>38</v>
      </c>
      <c r="D151" s="79" t="s">
        <v>64</v>
      </c>
      <c r="E151" s="79" t="s">
        <v>130</v>
      </c>
      <c r="F151" s="79"/>
      <c r="G151" s="81">
        <f>G152</f>
        <v>270000</v>
      </c>
      <c r="H151" s="81">
        <f t="shared" ref="H151:I151" si="61">H152</f>
        <v>270000</v>
      </c>
      <c r="I151" s="81">
        <f t="shared" si="61"/>
        <v>270000</v>
      </c>
      <c r="J151" s="137"/>
    </row>
    <row r="152" spans="1:18" ht="26.4" x14ac:dyDescent="0.25">
      <c r="A152" s="16" t="s">
        <v>25</v>
      </c>
      <c r="B152" s="120">
        <v>763</v>
      </c>
      <c r="C152" s="79" t="s">
        <v>38</v>
      </c>
      <c r="D152" s="79" t="s">
        <v>64</v>
      </c>
      <c r="E152" s="79" t="s">
        <v>130</v>
      </c>
      <c r="F152" s="79" t="s">
        <v>26</v>
      </c>
      <c r="G152" s="81">
        <f>SUM(G153)</f>
        <v>270000</v>
      </c>
      <c r="H152" s="81">
        <f>SUM(H153)</f>
        <v>270000</v>
      </c>
      <c r="I152" s="81">
        <f>SUM(I153)</f>
        <v>270000</v>
      </c>
      <c r="J152" s="137"/>
    </row>
    <row r="153" spans="1:18" ht="25.5" customHeight="1" x14ac:dyDescent="0.25">
      <c r="A153" s="16" t="s">
        <v>27</v>
      </c>
      <c r="B153" s="120">
        <v>763</v>
      </c>
      <c r="C153" s="79" t="s">
        <v>38</v>
      </c>
      <c r="D153" s="79" t="s">
        <v>64</v>
      </c>
      <c r="E153" s="79" t="s">
        <v>130</v>
      </c>
      <c r="F153" s="79" t="s">
        <v>28</v>
      </c>
      <c r="G153" s="81">
        <v>270000</v>
      </c>
      <c r="H153" s="81">
        <v>270000</v>
      </c>
      <c r="I153" s="81">
        <v>270000</v>
      </c>
      <c r="J153" s="137"/>
    </row>
    <row r="154" spans="1:18" x14ac:dyDescent="0.25">
      <c r="A154" s="54" t="s">
        <v>213</v>
      </c>
      <c r="B154" s="125">
        <v>763</v>
      </c>
      <c r="C154" s="191" t="s">
        <v>98</v>
      </c>
      <c r="D154" s="191"/>
      <c r="E154" s="191"/>
      <c r="F154" s="191"/>
      <c r="G154" s="188">
        <f>G155</f>
        <v>4855795</v>
      </c>
      <c r="H154" s="188">
        <f t="shared" ref="H154:I155" si="62">H155</f>
        <v>4855795</v>
      </c>
      <c r="I154" s="188">
        <f t="shared" si="62"/>
        <v>4855795</v>
      </c>
      <c r="J154" s="147"/>
      <c r="P154" s="160"/>
      <c r="Q154" s="160"/>
    </row>
    <row r="155" spans="1:18" x14ac:dyDescent="0.25">
      <c r="A155" s="55" t="s">
        <v>99</v>
      </c>
      <c r="B155" s="120">
        <v>763</v>
      </c>
      <c r="C155" s="124" t="s">
        <v>98</v>
      </c>
      <c r="D155" s="124" t="s">
        <v>10</v>
      </c>
      <c r="E155" s="191"/>
      <c r="F155" s="191"/>
      <c r="G155" s="87">
        <f>G156</f>
        <v>4855795</v>
      </c>
      <c r="H155" s="87">
        <f t="shared" si="62"/>
        <v>4855795</v>
      </c>
      <c r="I155" s="87">
        <f t="shared" si="62"/>
        <v>4855795</v>
      </c>
      <c r="J155" s="149"/>
      <c r="K155" s="149"/>
      <c r="L155" s="149"/>
      <c r="M155" s="149"/>
      <c r="N155" s="149"/>
      <c r="O155" s="149"/>
    </row>
    <row r="156" spans="1:18" ht="42.75" customHeight="1" x14ac:dyDescent="0.25">
      <c r="A156" s="16" t="s">
        <v>373</v>
      </c>
      <c r="B156" s="120">
        <v>763</v>
      </c>
      <c r="C156" s="79" t="s">
        <v>98</v>
      </c>
      <c r="D156" s="79" t="s">
        <v>10</v>
      </c>
      <c r="E156" s="79" t="s">
        <v>187</v>
      </c>
      <c r="F156" s="79"/>
      <c r="G156" s="81">
        <f>G157+G160</f>
        <v>4855795</v>
      </c>
      <c r="H156" s="81">
        <f t="shared" ref="H156:I156" si="63">H157+H160</f>
        <v>4855795</v>
      </c>
      <c r="I156" s="81">
        <f t="shared" si="63"/>
        <v>4855795</v>
      </c>
      <c r="J156" s="137"/>
    </row>
    <row r="157" spans="1:18" s="18" customFormat="1" ht="20.25" customHeight="1" x14ac:dyDescent="0.25">
      <c r="A157" s="78" t="s">
        <v>61</v>
      </c>
      <c r="B157" s="120">
        <v>763</v>
      </c>
      <c r="C157" s="79" t="s">
        <v>98</v>
      </c>
      <c r="D157" s="79" t="s">
        <v>10</v>
      </c>
      <c r="E157" s="79" t="s">
        <v>60</v>
      </c>
      <c r="F157" s="79"/>
      <c r="G157" s="81">
        <f t="shared" ref="G157:I158" si="64">G158</f>
        <v>109395</v>
      </c>
      <c r="H157" s="81">
        <f t="shared" si="64"/>
        <v>109395</v>
      </c>
      <c r="I157" s="81">
        <f t="shared" si="64"/>
        <v>109395</v>
      </c>
      <c r="J157" s="137"/>
      <c r="K157" s="154"/>
      <c r="L157" s="154"/>
      <c r="M157" s="154"/>
      <c r="N157" s="154"/>
      <c r="O157" s="154"/>
      <c r="P157" s="154"/>
      <c r="Q157" s="154"/>
      <c r="R157" s="154"/>
    </row>
    <row r="158" spans="1:18" ht="30.75" customHeight="1" x14ac:dyDescent="0.25">
      <c r="A158" s="78" t="s">
        <v>25</v>
      </c>
      <c r="B158" s="120">
        <v>763</v>
      </c>
      <c r="C158" s="79" t="s">
        <v>98</v>
      </c>
      <c r="D158" s="79" t="s">
        <v>10</v>
      </c>
      <c r="E158" s="79" t="s">
        <v>60</v>
      </c>
      <c r="F158" s="79" t="s">
        <v>26</v>
      </c>
      <c r="G158" s="81">
        <f t="shared" si="64"/>
        <v>109395</v>
      </c>
      <c r="H158" s="81">
        <f t="shared" si="64"/>
        <v>109395</v>
      </c>
      <c r="I158" s="81">
        <f t="shared" si="64"/>
        <v>109395</v>
      </c>
      <c r="J158" s="137"/>
    </row>
    <row r="159" spans="1:18" s="18" customFormat="1" ht="34.5" customHeight="1" x14ac:dyDescent="0.25">
      <c r="A159" s="78" t="s">
        <v>27</v>
      </c>
      <c r="B159" s="120">
        <v>763</v>
      </c>
      <c r="C159" s="79" t="s">
        <v>98</v>
      </c>
      <c r="D159" s="79" t="s">
        <v>10</v>
      </c>
      <c r="E159" s="79" t="s">
        <v>60</v>
      </c>
      <c r="F159" s="79" t="s">
        <v>28</v>
      </c>
      <c r="G159" s="81">
        <v>109395</v>
      </c>
      <c r="H159" s="81">
        <v>109395</v>
      </c>
      <c r="I159" s="81">
        <v>109395</v>
      </c>
      <c r="J159" s="137"/>
      <c r="K159" s="154"/>
      <c r="L159" s="154"/>
      <c r="M159" s="154"/>
      <c r="N159" s="154"/>
      <c r="O159" s="154"/>
      <c r="P159" s="154"/>
      <c r="Q159" s="154"/>
      <c r="R159" s="154"/>
    </row>
    <row r="160" spans="1:18" s="18" customFormat="1" ht="32.25" customHeight="1" x14ac:dyDescent="0.25">
      <c r="A160" s="78" t="s">
        <v>390</v>
      </c>
      <c r="B160" s="120">
        <v>763</v>
      </c>
      <c r="C160" s="79" t="s">
        <v>98</v>
      </c>
      <c r="D160" s="79" t="s">
        <v>10</v>
      </c>
      <c r="E160" s="79" t="s">
        <v>58</v>
      </c>
      <c r="F160" s="79"/>
      <c r="G160" s="81">
        <f t="shared" ref="G160:I161" si="65">G161</f>
        <v>4746400</v>
      </c>
      <c r="H160" s="81">
        <f t="shared" si="65"/>
        <v>4746400</v>
      </c>
      <c r="I160" s="81">
        <f t="shared" si="65"/>
        <v>4746400</v>
      </c>
      <c r="J160" s="137"/>
      <c r="K160" s="154"/>
      <c r="L160" s="154"/>
      <c r="M160" s="154"/>
      <c r="N160" s="164"/>
      <c r="O160" s="154"/>
      <c r="P160" s="154"/>
      <c r="Q160" s="154"/>
      <c r="R160" s="154"/>
    </row>
    <row r="161" spans="1:18" ht="30.75" customHeight="1" x14ac:dyDescent="0.25">
      <c r="A161" s="78" t="s">
        <v>25</v>
      </c>
      <c r="B161" s="120">
        <v>763</v>
      </c>
      <c r="C161" s="79" t="s">
        <v>98</v>
      </c>
      <c r="D161" s="79" t="s">
        <v>10</v>
      </c>
      <c r="E161" s="79" t="s">
        <v>58</v>
      </c>
      <c r="F161" s="79" t="s">
        <v>26</v>
      </c>
      <c r="G161" s="81">
        <f t="shared" si="65"/>
        <v>4746400</v>
      </c>
      <c r="H161" s="81">
        <f t="shared" si="65"/>
        <v>4746400</v>
      </c>
      <c r="I161" s="81">
        <f t="shared" si="65"/>
        <v>4746400</v>
      </c>
      <c r="J161" s="137"/>
    </row>
    <row r="162" spans="1:18" s="18" customFormat="1" ht="34.5" customHeight="1" x14ac:dyDescent="0.25">
      <c r="A162" s="78" t="s">
        <v>27</v>
      </c>
      <c r="B162" s="120">
        <v>763</v>
      </c>
      <c r="C162" s="79" t="s">
        <v>98</v>
      </c>
      <c r="D162" s="79" t="s">
        <v>10</v>
      </c>
      <c r="E162" s="79" t="s">
        <v>58</v>
      </c>
      <c r="F162" s="79" t="s">
        <v>28</v>
      </c>
      <c r="G162" s="81">
        <v>4746400</v>
      </c>
      <c r="H162" s="81">
        <v>4746400</v>
      </c>
      <c r="I162" s="81">
        <v>4746400</v>
      </c>
      <c r="J162" s="137"/>
      <c r="K162" s="154"/>
      <c r="L162" s="154"/>
      <c r="M162" s="154"/>
      <c r="N162" s="154"/>
      <c r="O162" s="154"/>
      <c r="P162" s="154"/>
      <c r="Q162" s="154"/>
      <c r="R162" s="154"/>
    </row>
    <row r="163" spans="1:18" s="106" customFormat="1" x14ac:dyDescent="0.25">
      <c r="A163" s="260" t="s">
        <v>53</v>
      </c>
      <c r="B163" s="258"/>
      <c r="C163" s="261"/>
      <c r="D163" s="261"/>
      <c r="E163" s="261"/>
      <c r="F163" s="261"/>
      <c r="G163" s="259">
        <f>G127+G145+G154</f>
        <v>29292992</v>
      </c>
      <c r="H163" s="259">
        <f t="shared" ref="H163:I163" si="66">H127+H145+H154</f>
        <v>28491719</v>
      </c>
      <c r="I163" s="259">
        <f t="shared" si="66"/>
        <v>28692433</v>
      </c>
      <c r="J163" s="148"/>
      <c r="K163" s="158"/>
      <c r="L163" s="158"/>
      <c r="M163" s="158"/>
      <c r="N163" s="159"/>
      <c r="O163" s="158"/>
      <c r="P163" s="158"/>
      <c r="Q163" s="158"/>
      <c r="R163" s="158"/>
    </row>
    <row r="164" spans="1:18" s="231" customFormat="1" ht="50.25" customHeight="1" x14ac:dyDescent="0.25">
      <c r="A164" s="238" t="s">
        <v>407</v>
      </c>
      <c r="B164" s="239">
        <v>774</v>
      </c>
      <c r="C164" s="240"/>
      <c r="D164" s="240"/>
      <c r="E164" s="240"/>
      <c r="F164" s="240"/>
      <c r="G164" s="241"/>
      <c r="H164" s="241"/>
      <c r="I164" s="241"/>
      <c r="J164" s="199"/>
      <c r="K164" s="230"/>
      <c r="L164" s="230"/>
      <c r="M164" s="230"/>
      <c r="N164" s="230"/>
      <c r="O164" s="230"/>
      <c r="P164" s="230"/>
      <c r="Q164" s="230"/>
      <c r="R164" s="230"/>
    </row>
    <row r="165" spans="1:18" ht="26.4" x14ac:dyDescent="0.25">
      <c r="A165" s="189" t="s">
        <v>96</v>
      </c>
      <c r="B165" s="190">
        <v>774</v>
      </c>
      <c r="C165" s="191" t="s">
        <v>49</v>
      </c>
      <c r="D165" s="191"/>
      <c r="E165" s="191"/>
      <c r="F165" s="191"/>
      <c r="G165" s="188">
        <f>G166</f>
        <v>200000</v>
      </c>
      <c r="H165" s="188">
        <f t="shared" ref="H165:I165" si="67">H166</f>
        <v>200000</v>
      </c>
      <c r="I165" s="188">
        <f t="shared" si="67"/>
        <v>200000</v>
      </c>
      <c r="J165" s="147"/>
      <c r="M165" s="160"/>
      <c r="N165" s="160"/>
      <c r="O165" s="160"/>
      <c r="P165" s="160"/>
    </row>
    <row r="166" spans="1:18" s="46" customFormat="1" ht="26.4" x14ac:dyDescent="0.25">
      <c r="A166" s="78" t="s">
        <v>207</v>
      </c>
      <c r="B166" s="120">
        <v>774</v>
      </c>
      <c r="C166" s="79" t="s">
        <v>49</v>
      </c>
      <c r="D166" s="79" t="s">
        <v>196</v>
      </c>
      <c r="E166" s="79"/>
      <c r="F166" s="79"/>
      <c r="G166" s="81">
        <f>G167</f>
        <v>200000</v>
      </c>
      <c r="H166" s="81">
        <f t="shared" ref="H166:I166" si="68">H167</f>
        <v>200000</v>
      </c>
      <c r="I166" s="81">
        <f t="shared" si="68"/>
        <v>200000</v>
      </c>
      <c r="J166" s="137"/>
      <c r="K166" s="142"/>
      <c r="L166" s="163"/>
      <c r="M166" s="163"/>
      <c r="N166" s="163"/>
      <c r="O166" s="168"/>
      <c r="P166" s="168"/>
      <c r="Q166" s="168"/>
      <c r="R166" s="168"/>
    </row>
    <row r="167" spans="1:18" ht="48.75" customHeight="1" x14ac:dyDescent="0.25">
      <c r="A167" s="16" t="s">
        <v>370</v>
      </c>
      <c r="B167" s="120">
        <v>774</v>
      </c>
      <c r="C167" s="79" t="s">
        <v>49</v>
      </c>
      <c r="D167" s="79" t="s">
        <v>196</v>
      </c>
      <c r="E167" s="79" t="s">
        <v>163</v>
      </c>
      <c r="F167" s="79"/>
      <c r="G167" s="81">
        <f t="shared" ref="G167:I168" si="69">G168</f>
        <v>200000</v>
      </c>
      <c r="H167" s="81">
        <f t="shared" si="69"/>
        <v>200000</v>
      </c>
      <c r="I167" s="81">
        <f t="shared" si="69"/>
        <v>200000</v>
      </c>
      <c r="J167" s="137"/>
      <c r="L167" s="160"/>
    </row>
    <row r="168" spans="1:18" ht="39.6" x14ac:dyDescent="0.25">
      <c r="A168" s="16" t="s">
        <v>208</v>
      </c>
      <c r="B168" s="120">
        <v>774</v>
      </c>
      <c r="C168" s="79" t="s">
        <v>49</v>
      </c>
      <c r="D168" s="79" t="s">
        <v>196</v>
      </c>
      <c r="E168" s="79" t="s">
        <v>164</v>
      </c>
      <c r="F168" s="79"/>
      <c r="G168" s="81">
        <f>G169</f>
        <v>200000</v>
      </c>
      <c r="H168" s="81">
        <f t="shared" si="69"/>
        <v>200000</v>
      </c>
      <c r="I168" s="81">
        <f t="shared" si="69"/>
        <v>200000</v>
      </c>
      <c r="J168" s="137"/>
      <c r="L168" s="160"/>
    </row>
    <row r="169" spans="1:18" s="18" customFormat="1" ht="26.4" x14ac:dyDescent="0.25">
      <c r="A169" s="16" t="s">
        <v>21</v>
      </c>
      <c r="B169" s="120">
        <v>774</v>
      </c>
      <c r="C169" s="79" t="s">
        <v>49</v>
      </c>
      <c r="D169" s="79" t="s">
        <v>196</v>
      </c>
      <c r="E169" s="79" t="s">
        <v>164</v>
      </c>
      <c r="F169" s="79" t="s">
        <v>22</v>
      </c>
      <c r="G169" s="81">
        <f>G170</f>
        <v>200000</v>
      </c>
      <c r="H169" s="81">
        <f t="shared" ref="H169:I169" si="70">H170</f>
        <v>200000</v>
      </c>
      <c r="I169" s="81">
        <f t="shared" si="70"/>
        <v>200000</v>
      </c>
      <c r="J169" s="137"/>
      <c r="K169" s="154"/>
      <c r="L169" s="154"/>
      <c r="M169" s="154"/>
      <c r="N169" s="154"/>
      <c r="O169" s="154"/>
      <c r="P169" s="154"/>
      <c r="Q169" s="154"/>
      <c r="R169" s="154"/>
    </row>
    <row r="170" spans="1:18" s="18" customFormat="1" x14ac:dyDescent="0.25">
      <c r="A170" s="16" t="s">
        <v>23</v>
      </c>
      <c r="B170" s="120">
        <v>774</v>
      </c>
      <c r="C170" s="79" t="s">
        <v>49</v>
      </c>
      <c r="D170" s="79" t="s">
        <v>196</v>
      </c>
      <c r="E170" s="79" t="s">
        <v>164</v>
      </c>
      <c r="F170" s="79" t="s">
        <v>24</v>
      </c>
      <c r="G170" s="70">
        <v>200000</v>
      </c>
      <c r="H170" s="81">
        <v>200000</v>
      </c>
      <c r="I170" s="81">
        <v>200000</v>
      </c>
      <c r="J170" s="137"/>
      <c r="K170" s="154"/>
      <c r="L170" s="154"/>
      <c r="M170" s="164"/>
      <c r="N170" s="154"/>
      <c r="O170" s="154"/>
      <c r="P170" s="154"/>
      <c r="Q170" s="154"/>
      <c r="R170" s="154"/>
    </row>
    <row r="171" spans="1:18" x14ac:dyDescent="0.25">
      <c r="A171" s="11" t="s">
        <v>16</v>
      </c>
      <c r="B171" s="190">
        <v>774</v>
      </c>
      <c r="C171" s="191" t="s">
        <v>17</v>
      </c>
      <c r="D171" s="191"/>
      <c r="E171" s="191"/>
      <c r="F171" s="191"/>
      <c r="G171" s="188">
        <f t="shared" ref="G171:M171" si="71">G172+G206+G258+G294+G309</f>
        <v>1280641657.3599999</v>
      </c>
      <c r="H171" s="188">
        <f t="shared" si="71"/>
        <v>1311568710.23</v>
      </c>
      <c r="I171" s="188">
        <f t="shared" si="71"/>
        <v>1358946839.8899996</v>
      </c>
      <c r="J171" s="188">
        <f t="shared" si="71"/>
        <v>0</v>
      </c>
      <c r="K171" s="188">
        <f t="shared" si="71"/>
        <v>0</v>
      </c>
      <c r="L171" s="188">
        <f t="shared" si="71"/>
        <v>0</v>
      </c>
      <c r="M171" s="188">
        <f t="shared" si="71"/>
        <v>0</v>
      </c>
    </row>
    <row r="172" spans="1:18" x14ac:dyDescent="0.25">
      <c r="A172" s="16" t="s">
        <v>65</v>
      </c>
      <c r="B172" s="120">
        <v>774</v>
      </c>
      <c r="C172" s="79" t="s">
        <v>17</v>
      </c>
      <c r="D172" s="79" t="s">
        <v>10</v>
      </c>
      <c r="E172" s="79"/>
      <c r="F172" s="79"/>
      <c r="G172" s="81">
        <f>G173</f>
        <v>401537522</v>
      </c>
      <c r="H172" s="81">
        <f t="shared" ref="H172:I172" si="72">H173</f>
        <v>413345094.65000004</v>
      </c>
      <c r="I172" s="81">
        <f t="shared" si="72"/>
        <v>418847097.82999998</v>
      </c>
      <c r="J172" s="137"/>
    </row>
    <row r="173" spans="1:18" s="18" customFormat="1" ht="29.25" customHeight="1" x14ac:dyDescent="0.25">
      <c r="A173" s="16" t="s">
        <v>362</v>
      </c>
      <c r="B173" s="120">
        <v>774</v>
      </c>
      <c r="C173" s="79" t="s">
        <v>17</v>
      </c>
      <c r="D173" s="79" t="s">
        <v>10</v>
      </c>
      <c r="E173" s="79" t="s">
        <v>108</v>
      </c>
      <c r="F173" s="79"/>
      <c r="G173" s="81">
        <f>G174+G193</f>
        <v>401537522</v>
      </c>
      <c r="H173" s="81">
        <f>H174+H193</f>
        <v>413345094.65000004</v>
      </c>
      <c r="I173" s="81">
        <f>I174+I193</f>
        <v>418847097.82999998</v>
      </c>
      <c r="J173" s="137"/>
      <c r="K173" s="154"/>
      <c r="L173" s="154"/>
      <c r="M173" s="154"/>
      <c r="N173" s="154"/>
      <c r="O173" s="154"/>
      <c r="P173" s="154"/>
      <c r="Q173" s="154"/>
      <c r="R173" s="154"/>
    </row>
    <row r="174" spans="1:18" s="18" customFormat="1" ht="48" customHeight="1" x14ac:dyDescent="0.25">
      <c r="A174" s="78" t="s">
        <v>386</v>
      </c>
      <c r="B174" s="79" t="s">
        <v>67</v>
      </c>
      <c r="C174" s="79" t="s">
        <v>17</v>
      </c>
      <c r="D174" s="79" t="s">
        <v>10</v>
      </c>
      <c r="E174" s="79" t="s">
        <v>132</v>
      </c>
      <c r="F174" s="79"/>
      <c r="G174" s="81">
        <f>G175+G178+G181+G184+G187+G190</f>
        <v>401374522</v>
      </c>
      <c r="H174" s="81">
        <f t="shared" ref="H174:I174" si="73">H175+H178+H181+H184+H187+H190</f>
        <v>413152675.93000001</v>
      </c>
      <c r="I174" s="81">
        <f t="shared" si="73"/>
        <v>418712897.82999998</v>
      </c>
      <c r="J174" s="137"/>
      <c r="K174" s="154"/>
      <c r="L174" s="154"/>
      <c r="M174" s="154"/>
      <c r="N174" s="154"/>
      <c r="O174" s="154"/>
      <c r="P174" s="154"/>
      <c r="Q174" s="154"/>
      <c r="R174" s="154"/>
    </row>
    <row r="175" spans="1:18" ht="114.75" customHeight="1" x14ac:dyDescent="0.25">
      <c r="A175" s="95" t="s">
        <v>495</v>
      </c>
      <c r="B175" s="79" t="s">
        <v>67</v>
      </c>
      <c r="C175" s="79" t="s">
        <v>17</v>
      </c>
      <c r="D175" s="79" t="s">
        <v>10</v>
      </c>
      <c r="E175" s="79" t="s">
        <v>446</v>
      </c>
      <c r="F175" s="79"/>
      <c r="G175" s="81">
        <f>G176</f>
        <v>16824000</v>
      </c>
      <c r="H175" s="81">
        <f t="shared" ref="G175:I176" si="74">H176</f>
        <v>23368000</v>
      </c>
      <c r="I175" s="81">
        <f t="shared" si="74"/>
        <v>24352000</v>
      </c>
      <c r="J175" s="137" t="e">
        <f>#REF!+#REF!+#REF!</f>
        <v>#REF!</v>
      </c>
    </row>
    <row r="176" spans="1:18" s="18" customFormat="1" ht="26.4" x14ac:dyDescent="0.25">
      <c r="A176" s="78" t="s">
        <v>21</v>
      </c>
      <c r="B176" s="79" t="s">
        <v>67</v>
      </c>
      <c r="C176" s="79" t="s">
        <v>17</v>
      </c>
      <c r="D176" s="79" t="s">
        <v>10</v>
      </c>
      <c r="E176" s="79" t="s">
        <v>446</v>
      </c>
      <c r="F176" s="79" t="s">
        <v>22</v>
      </c>
      <c r="G176" s="81">
        <f t="shared" si="74"/>
        <v>16824000</v>
      </c>
      <c r="H176" s="81">
        <f t="shared" si="74"/>
        <v>23368000</v>
      </c>
      <c r="I176" s="81">
        <f t="shared" si="74"/>
        <v>24352000</v>
      </c>
      <c r="J176" s="137"/>
      <c r="K176" s="154"/>
      <c r="L176" s="154"/>
      <c r="M176" s="154"/>
      <c r="N176" s="154"/>
      <c r="O176" s="154"/>
      <c r="P176" s="154"/>
      <c r="Q176" s="154"/>
      <c r="R176" s="154"/>
    </row>
    <row r="177" spans="1:19" s="18" customFormat="1" x14ac:dyDescent="0.25">
      <c r="A177" s="78" t="s">
        <v>23</v>
      </c>
      <c r="B177" s="79" t="s">
        <v>67</v>
      </c>
      <c r="C177" s="79" t="s">
        <v>17</v>
      </c>
      <c r="D177" s="79" t="s">
        <v>10</v>
      </c>
      <c r="E177" s="79" t="s">
        <v>446</v>
      </c>
      <c r="F177" s="79" t="s">
        <v>24</v>
      </c>
      <c r="G177" s="81">
        <v>16824000</v>
      </c>
      <c r="H177" s="81">
        <v>23368000</v>
      </c>
      <c r="I177" s="81">
        <v>24352000</v>
      </c>
      <c r="J177" s="137"/>
      <c r="K177" s="154"/>
      <c r="L177" s="154"/>
      <c r="M177" s="164"/>
      <c r="N177" s="154"/>
      <c r="O177" s="154"/>
      <c r="P177" s="154"/>
      <c r="Q177" s="154"/>
      <c r="R177" s="154"/>
    </row>
    <row r="178" spans="1:19" s="18" customFormat="1" ht="46.5" customHeight="1" x14ac:dyDescent="0.25">
      <c r="A178" s="206" t="s">
        <v>443</v>
      </c>
      <c r="B178" s="14">
        <v>774</v>
      </c>
      <c r="C178" s="15" t="s">
        <v>17</v>
      </c>
      <c r="D178" s="15" t="s">
        <v>10</v>
      </c>
      <c r="E178" s="15" t="s">
        <v>442</v>
      </c>
      <c r="F178" s="15"/>
      <c r="G178" s="70">
        <f t="shared" ref="G178:I179" si="75">G179</f>
        <v>245002968.40000001</v>
      </c>
      <c r="H178" s="70">
        <f t="shared" si="75"/>
        <v>246688367.38</v>
      </c>
      <c r="I178" s="70">
        <f t="shared" si="75"/>
        <v>245492176.94</v>
      </c>
      <c r="J178" s="136"/>
      <c r="K178" s="141"/>
      <c r="L178" s="141"/>
      <c r="M178" s="141"/>
      <c r="N178" s="141"/>
      <c r="O178" s="141"/>
      <c r="P178" s="141"/>
      <c r="Q178" s="179"/>
      <c r="R178" s="179"/>
      <c r="S178" s="17"/>
    </row>
    <row r="179" spans="1:19" s="18" customFormat="1" ht="26.4" x14ac:dyDescent="0.25">
      <c r="A179" s="78" t="s">
        <v>21</v>
      </c>
      <c r="B179" s="120">
        <v>774</v>
      </c>
      <c r="C179" s="79" t="s">
        <v>17</v>
      </c>
      <c r="D179" s="79" t="s">
        <v>10</v>
      </c>
      <c r="E179" s="79" t="s">
        <v>442</v>
      </c>
      <c r="F179" s="79" t="s">
        <v>22</v>
      </c>
      <c r="G179" s="81">
        <f t="shared" si="75"/>
        <v>245002968.40000001</v>
      </c>
      <c r="H179" s="81">
        <f t="shared" si="75"/>
        <v>246688367.38</v>
      </c>
      <c r="I179" s="81">
        <f t="shared" si="75"/>
        <v>245492176.94</v>
      </c>
      <c r="J179" s="137"/>
      <c r="K179" s="154"/>
      <c r="L179" s="154"/>
      <c r="M179" s="154"/>
      <c r="N179" s="154"/>
      <c r="O179" s="154"/>
      <c r="P179" s="154"/>
      <c r="Q179" s="164"/>
      <c r="R179" s="164"/>
      <c r="S179" s="17"/>
    </row>
    <row r="180" spans="1:19" s="18" customFormat="1" x14ac:dyDescent="0.25">
      <c r="A180" s="78" t="s">
        <v>23</v>
      </c>
      <c r="B180" s="120">
        <v>774</v>
      </c>
      <c r="C180" s="79" t="s">
        <v>17</v>
      </c>
      <c r="D180" s="79" t="s">
        <v>10</v>
      </c>
      <c r="E180" s="79" t="s">
        <v>442</v>
      </c>
      <c r="F180" s="79" t="s">
        <v>24</v>
      </c>
      <c r="G180" s="81">
        <v>245002968.40000001</v>
      </c>
      <c r="H180" s="81">
        <v>246688367.38</v>
      </c>
      <c r="I180" s="81">
        <v>245492176.94</v>
      </c>
      <c r="J180" s="137"/>
      <c r="K180" s="154"/>
      <c r="L180" s="154"/>
      <c r="M180" s="154"/>
      <c r="N180" s="154"/>
      <c r="O180" s="154"/>
      <c r="P180" s="154"/>
      <c r="Q180" s="164"/>
      <c r="R180" s="164"/>
      <c r="S180" s="17"/>
    </row>
    <row r="181" spans="1:19" s="18" customFormat="1" ht="26.4" x14ac:dyDescent="0.25">
      <c r="A181" s="78" t="s">
        <v>66</v>
      </c>
      <c r="B181" s="120">
        <v>774</v>
      </c>
      <c r="C181" s="79" t="s">
        <v>17</v>
      </c>
      <c r="D181" s="79" t="s">
        <v>10</v>
      </c>
      <c r="E181" s="79" t="s">
        <v>133</v>
      </c>
      <c r="F181" s="79"/>
      <c r="G181" s="81">
        <f t="shared" ref="G181:I185" si="76">G182</f>
        <v>137841837.59999999</v>
      </c>
      <c r="H181" s="81">
        <f t="shared" si="76"/>
        <v>141355511.11000001</v>
      </c>
      <c r="I181" s="81">
        <f t="shared" si="76"/>
        <v>147089731.55000001</v>
      </c>
      <c r="J181" s="137"/>
      <c r="K181" s="154"/>
      <c r="L181" s="154"/>
      <c r="M181" s="154"/>
      <c r="N181" s="154"/>
      <c r="O181" s="154"/>
      <c r="P181" s="154"/>
      <c r="Q181" s="164"/>
      <c r="R181" s="164"/>
      <c r="S181" s="17"/>
    </row>
    <row r="182" spans="1:19" s="18" customFormat="1" ht="26.4" x14ac:dyDescent="0.25">
      <c r="A182" s="78" t="s">
        <v>21</v>
      </c>
      <c r="B182" s="120">
        <v>774</v>
      </c>
      <c r="C182" s="79" t="s">
        <v>17</v>
      </c>
      <c r="D182" s="79" t="s">
        <v>10</v>
      </c>
      <c r="E182" s="79" t="s">
        <v>133</v>
      </c>
      <c r="F182" s="79" t="s">
        <v>22</v>
      </c>
      <c r="G182" s="81">
        <f t="shared" si="76"/>
        <v>137841837.59999999</v>
      </c>
      <c r="H182" s="81">
        <f t="shared" si="76"/>
        <v>141355511.11000001</v>
      </c>
      <c r="I182" s="81">
        <f t="shared" si="76"/>
        <v>147089731.55000001</v>
      </c>
      <c r="J182" s="137"/>
      <c r="K182" s="154"/>
      <c r="L182" s="154"/>
      <c r="M182" s="154"/>
      <c r="N182" s="154"/>
      <c r="O182" s="154"/>
      <c r="P182" s="154"/>
      <c r="Q182" s="164"/>
      <c r="R182" s="164"/>
      <c r="S182" s="17"/>
    </row>
    <row r="183" spans="1:19" s="18" customFormat="1" x14ac:dyDescent="0.25">
      <c r="A183" s="78" t="s">
        <v>23</v>
      </c>
      <c r="B183" s="120">
        <v>774</v>
      </c>
      <c r="C183" s="79" t="s">
        <v>17</v>
      </c>
      <c r="D183" s="79" t="s">
        <v>10</v>
      </c>
      <c r="E183" s="79" t="s">
        <v>133</v>
      </c>
      <c r="F183" s="79" t="s">
        <v>24</v>
      </c>
      <c r="G183" s="70">
        <v>137841837.59999999</v>
      </c>
      <c r="H183" s="81">
        <f>143355511.11-2000000</f>
        <v>141355511.11000001</v>
      </c>
      <c r="I183" s="81">
        <f>149089731.55-2000000</f>
        <v>147089731.55000001</v>
      </c>
      <c r="J183" s="137"/>
      <c r="K183" s="154"/>
      <c r="L183" s="154"/>
      <c r="M183" s="154"/>
      <c r="N183" s="154"/>
      <c r="O183" s="154"/>
      <c r="P183" s="154"/>
      <c r="Q183" s="164"/>
      <c r="R183" s="164"/>
      <c r="S183" s="17"/>
    </row>
    <row r="184" spans="1:19" s="18" customFormat="1" x14ac:dyDescent="0.25">
      <c r="A184" s="78" t="s">
        <v>305</v>
      </c>
      <c r="B184" s="120">
        <v>774</v>
      </c>
      <c r="C184" s="79" t="s">
        <v>17</v>
      </c>
      <c r="D184" s="79" t="s">
        <v>10</v>
      </c>
      <c r="E184" s="79" t="s">
        <v>313</v>
      </c>
      <c r="F184" s="79"/>
      <c r="G184" s="70">
        <f t="shared" si="76"/>
        <v>811680</v>
      </c>
      <c r="H184" s="81">
        <f t="shared" si="76"/>
        <v>811000</v>
      </c>
      <c r="I184" s="81">
        <f t="shared" si="76"/>
        <v>812000</v>
      </c>
      <c r="J184" s="137"/>
      <c r="K184" s="154"/>
      <c r="L184" s="154"/>
      <c r="M184" s="154"/>
      <c r="N184" s="154"/>
      <c r="O184" s="154"/>
      <c r="P184" s="154"/>
      <c r="Q184" s="164"/>
      <c r="R184" s="164"/>
      <c r="S184" s="17"/>
    </row>
    <row r="185" spans="1:19" s="18" customFormat="1" ht="26.4" x14ac:dyDescent="0.25">
      <c r="A185" s="78" t="s">
        <v>21</v>
      </c>
      <c r="B185" s="120">
        <v>774</v>
      </c>
      <c r="C185" s="79" t="s">
        <v>17</v>
      </c>
      <c r="D185" s="79" t="s">
        <v>10</v>
      </c>
      <c r="E185" s="79" t="s">
        <v>313</v>
      </c>
      <c r="F185" s="79" t="s">
        <v>22</v>
      </c>
      <c r="G185" s="70">
        <f t="shared" si="76"/>
        <v>811680</v>
      </c>
      <c r="H185" s="81">
        <f t="shared" si="76"/>
        <v>811000</v>
      </c>
      <c r="I185" s="81">
        <f t="shared" si="76"/>
        <v>812000</v>
      </c>
      <c r="J185" s="137"/>
      <c r="K185" s="154"/>
      <c r="L185" s="154"/>
      <c r="M185" s="154"/>
      <c r="N185" s="154"/>
      <c r="O185" s="154"/>
      <c r="P185" s="154"/>
      <c r="Q185" s="164"/>
      <c r="R185" s="164"/>
      <c r="S185" s="17"/>
    </row>
    <row r="186" spans="1:19" s="18" customFormat="1" x14ac:dyDescent="0.25">
      <c r="A186" s="78" t="s">
        <v>23</v>
      </c>
      <c r="B186" s="120">
        <v>774</v>
      </c>
      <c r="C186" s="79" t="s">
        <v>17</v>
      </c>
      <c r="D186" s="79" t="s">
        <v>10</v>
      </c>
      <c r="E186" s="79" t="s">
        <v>313</v>
      </c>
      <c r="F186" s="79" t="s">
        <v>24</v>
      </c>
      <c r="G186" s="70">
        <v>811680</v>
      </c>
      <c r="H186" s="81">
        <v>811000</v>
      </c>
      <c r="I186" s="81">
        <v>812000</v>
      </c>
      <c r="J186" s="137"/>
      <c r="K186" s="154"/>
      <c r="L186" s="154"/>
      <c r="M186" s="154"/>
      <c r="N186" s="154"/>
      <c r="O186" s="154"/>
      <c r="P186" s="154"/>
      <c r="Q186" s="164"/>
      <c r="R186" s="164"/>
      <c r="S186" s="17"/>
    </row>
    <row r="187" spans="1:19" s="18" customFormat="1" ht="31.5" customHeight="1" x14ac:dyDescent="0.25">
      <c r="A187" s="194" t="s">
        <v>80</v>
      </c>
      <c r="B187" s="79" t="s">
        <v>67</v>
      </c>
      <c r="C187" s="79" t="s">
        <v>17</v>
      </c>
      <c r="D187" s="79" t="s">
        <v>10</v>
      </c>
      <c r="E187" s="79" t="s">
        <v>140</v>
      </c>
      <c r="F187" s="79"/>
      <c r="G187" s="70">
        <f t="shared" ref="G187:I188" si="77">G188</f>
        <v>894036</v>
      </c>
      <c r="H187" s="81">
        <f t="shared" si="77"/>
        <v>929797.44</v>
      </c>
      <c r="I187" s="81">
        <f t="shared" si="77"/>
        <v>966989.34</v>
      </c>
      <c r="J187" s="137"/>
      <c r="K187" s="154"/>
      <c r="L187" s="154"/>
      <c r="M187" s="154"/>
      <c r="N187" s="154"/>
      <c r="O187" s="154"/>
      <c r="P187" s="154"/>
      <c r="Q187" s="164"/>
      <c r="R187" s="164"/>
      <c r="S187" s="17"/>
    </row>
    <row r="188" spans="1:19" s="18" customFormat="1" ht="26.4" x14ac:dyDescent="0.25">
      <c r="A188" s="78" t="s">
        <v>21</v>
      </c>
      <c r="B188" s="79" t="s">
        <v>67</v>
      </c>
      <c r="C188" s="79" t="s">
        <v>17</v>
      </c>
      <c r="D188" s="79" t="s">
        <v>10</v>
      </c>
      <c r="E188" s="79" t="s">
        <v>140</v>
      </c>
      <c r="F188" s="79" t="s">
        <v>22</v>
      </c>
      <c r="G188" s="70">
        <f t="shared" si="77"/>
        <v>894036</v>
      </c>
      <c r="H188" s="81">
        <f t="shared" si="77"/>
        <v>929797.44</v>
      </c>
      <c r="I188" s="81">
        <f t="shared" si="77"/>
        <v>966989.34</v>
      </c>
      <c r="J188" s="137"/>
      <c r="K188" s="154"/>
      <c r="L188" s="154"/>
      <c r="M188" s="154"/>
      <c r="N188" s="154"/>
      <c r="O188" s="154"/>
      <c r="P188" s="154"/>
      <c r="Q188" s="154"/>
      <c r="R188" s="154"/>
    </row>
    <row r="189" spans="1:19" x14ac:dyDescent="0.25">
      <c r="A189" s="78" t="s">
        <v>23</v>
      </c>
      <c r="B189" s="79" t="s">
        <v>67</v>
      </c>
      <c r="C189" s="79" t="s">
        <v>17</v>
      </c>
      <c r="D189" s="79" t="s">
        <v>10</v>
      </c>
      <c r="E189" s="79" t="s">
        <v>140</v>
      </c>
      <c r="F189" s="79" t="s">
        <v>24</v>
      </c>
      <c r="G189" s="70">
        <v>894036</v>
      </c>
      <c r="H189" s="81">
        <v>929797.44</v>
      </c>
      <c r="I189" s="81">
        <v>966989.34</v>
      </c>
      <c r="J189" s="137"/>
    </row>
    <row r="190" spans="1:19" s="18" customFormat="1" ht="51" hidden="1" customHeight="1" x14ac:dyDescent="0.25">
      <c r="A190" s="194" t="s">
        <v>318</v>
      </c>
      <c r="B190" s="79" t="s">
        <v>67</v>
      </c>
      <c r="C190" s="79" t="s">
        <v>17</v>
      </c>
      <c r="D190" s="79" t="s">
        <v>10</v>
      </c>
      <c r="E190" s="79" t="s">
        <v>314</v>
      </c>
      <c r="F190" s="79"/>
      <c r="G190" s="70">
        <f t="shared" ref="G190:I191" si="78">G191</f>
        <v>0</v>
      </c>
      <c r="H190" s="81">
        <f t="shared" si="78"/>
        <v>0</v>
      </c>
      <c r="I190" s="81">
        <f t="shared" si="78"/>
        <v>0</v>
      </c>
      <c r="J190" s="137"/>
      <c r="K190" s="154"/>
      <c r="L190" s="154"/>
      <c r="M190" s="154"/>
      <c r="N190" s="154"/>
      <c r="O190" s="154"/>
      <c r="P190" s="154"/>
      <c r="Q190" s="154"/>
      <c r="R190" s="154"/>
    </row>
    <row r="191" spans="1:19" s="18" customFormat="1" ht="26.25" hidden="1" customHeight="1" x14ac:dyDescent="0.25">
      <c r="A191" s="78" t="s">
        <v>21</v>
      </c>
      <c r="B191" s="79" t="s">
        <v>67</v>
      </c>
      <c r="C191" s="79" t="s">
        <v>17</v>
      </c>
      <c r="D191" s="79" t="s">
        <v>10</v>
      </c>
      <c r="E191" s="79" t="s">
        <v>314</v>
      </c>
      <c r="F191" s="79" t="s">
        <v>22</v>
      </c>
      <c r="G191" s="70">
        <f t="shared" si="78"/>
        <v>0</v>
      </c>
      <c r="H191" s="81">
        <f t="shared" si="78"/>
        <v>0</v>
      </c>
      <c r="I191" s="81">
        <f t="shared" si="78"/>
        <v>0</v>
      </c>
      <c r="J191" s="137"/>
      <c r="K191" s="154"/>
      <c r="L191" s="154"/>
      <c r="M191" s="154"/>
      <c r="N191" s="154"/>
      <c r="O191" s="154"/>
      <c r="P191" s="154"/>
      <c r="Q191" s="154"/>
      <c r="R191" s="154"/>
    </row>
    <row r="192" spans="1:19" hidden="1" x14ac:dyDescent="0.25">
      <c r="A192" s="78" t="s">
        <v>23</v>
      </c>
      <c r="B192" s="79" t="s">
        <v>67</v>
      </c>
      <c r="C192" s="79" t="s">
        <v>17</v>
      </c>
      <c r="D192" s="79" t="s">
        <v>10</v>
      </c>
      <c r="E192" s="79" t="s">
        <v>314</v>
      </c>
      <c r="F192" s="79" t="s">
        <v>24</v>
      </c>
      <c r="G192" s="70"/>
      <c r="H192" s="81"/>
      <c r="I192" s="81"/>
      <c r="J192" s="137"/>
    </row>
    <row r="193" spans="1:18" s="3" customFormat="1" ht="26.4" x14ac:dyDescent="0.25">
      <c r="A193" s="78" t="s">
        <v>393</v>
      </c>
      <c r="B193" s="120">
        <v>774</v>
      </c>
      <c r="C193" s="79" t="s">
        <v>17</v>
      </c>
      <c r="D193" s="79" t="s">
        <v>10</v>
      </c>
      <c r="E193" s="79" t="s">
        <v>134</v>
      </c>
      <c r="F193" s="79"/>
      <c r="G193" s="81">
        <f>G194+G197+G200+G203</f>
        <v>163000</v>
      </c>
      <c r="H193" s="81">
        <f t="shared" ref="H193:I193" si="79">H194+H197+H200+H203</f>
        <v>192418.72</v>
      </c>
      <c r="I193" s="81">
        <f t="shared" si="79"/>
        <v>134200</v>
      </c>
      <c r="J193" s="137"/>
      <c r="K193" s="153"/>
      <c r="L193" s="153"/>
      <c r="M193" s="153"/>
      <c r="N193" s="153"/>
      <c r="O193" s="153"/>
      <c r="P193" s="153"/>
      <c r="Q193" s="153"/>
      <c r="R193" s="153"/>
    </row>
    <row r="194" spans="1:18" s="3" customFormat="1" ht="26.4" x14ac:dyDescent="0.25">
      <c r="A194" s="78" t="s">
        <v>335</v>
      </c>
      <c r="B194" s="120">
        <v>774</v>
      </c>
      <c r="C194" s="79" t="s">
        <v>17</v>
      </c>
      <c r="D194" s="79" t="s">
        <v>10</v>
      </c>
      <c r="E194" s="79" t="s">
        <v>334</v>
      </c>
      <c r="F194" s="79"/>
      <c r="G194" s="70">
        <f t="shared" ref="G194:I195" si="80">G195</f>
        <v>39000</v>
      </c>
      <c r="H194" s="81">
        <f t="shared" si="80"/>
        <v>60000</v>
      </c>
      <c r="I194" s="81">
        <f t="shared" si="80"/>
        <v>60000</v>
      </c>
      <c r="J194" s="137"/>
      <c r="K194" s="153"/>
      <c r="L194" s="153"/>
      <c r="M194" s="153"/>
      <c r="N194" s="153"/>
      <c r="O194" s="153"/>
      <c r="P194" s="153"/>
      <c r="Q194" s="153"/>
      <c r="R194" s="153"/>
    </row>
    <row r="195" spans="1:18" s="3" customFormat="1" ht="26.4" x14ac:dyDescent="0.25">
      <c r="A195" s="78" t="s">
        <v>21</v>
      </c>
      <c r="B195" s="120">
        <v>774</v>
      </c>
      <c r="C195" s="79" t="s">
        <v>17</v>
      </c>
      <c r="D195" s="79" t="s">
        <v>10</v>
      </c>
      <c r="E195" s="79" t="s">
        <v>334</v>
      </c>
      <c r="F195" s="79" t="s">
        <v>22</v>
      </c>
      <c r="G195" s="70">
        <f t="shared" si="80"/>
        <v>39000</v>
      </c>
      <c r="H195" s="81">
        <f t="shared" si="80"/>
        <v>60000</v>
      </c>
      <c r="I195" s="81">
        <f t="shared" si="80"/>
        <v>60000</v>
      </c>
      <c r="J195" s="137"/>
      <c r="K195" s="153"/>
      <c r="L195" s="153"/>
      <c r="M195" s="153"/>
      <c r="N195" s="153"/>
      <c r="O195" s="153"/>
      <c r="P195" s="153"/>
      <c r="Q195" s="153"/>
      <c r="R195" s="153"/>
    </row>
    <row r="196" spans="1:18" s="3" customFormat="1" x14ac:dyDescent="0.25">
      <c r="A196" s="78" t="s">
        <v>23</v>
      </c>
      <c r="B196" s="120">
        <v>774</v>
      </c>
      <c r="C196" s="79" t="s">
        <v>17</v>
      </c>
      <c r="D196" s="79" t="s">
        <v>10</v>
      </c>
      <c r="E196" s="79" t="s">
        <v>334</v>
      </c>
      <c r="F196" s="79" t="s">
        <v>24</v>
      </c>
      <c r="G196" s="70">
        <v>39000</v>
      </c>
      <c r="H196" s="81">
        <v>60000</v>
      </c>
      <c r="I196" s="81">
        <v>60000</v>
      </c>
      <c r="J196" s="137"/>
      <c r="K196" s="153"/>
      <c r="L196" s="153"/>
      <c r="M196" s="153"/>
      <c r="N196" s="153"/>
      <c r="O196" s="153"/>
      <c r="P196" s="153"/>
      <c r="Q196" s="153"/>
      <c r="R196" s="153"/>
    </row>
    <row r="197" spans="1:18" ht="25.5" customHeight="1" x14ac:dyDescent="0.25">
      <c r="A197" s="78" t="s">
        <v>186</v>
      </c>
      <c r="B197" s="120">
        <v>774</v>
      </c>
      <c r="C197" s="79" t="s">
        <v>17</v>
      </c>
      <c r="D197" s="79" t="s">
        <v>10</v>
      </c>
      <c r="E197" s="79" t="s">
        <v>185</v>
      </c>
      <c r="F197" s="120"/>
      <c r="G197" s="70">
        <f t="shared" ref="G197:I198" si="81">G198</f>
        <v>124000</v>
      </c>
      <c r="H197" s="81">
        <f t="shared" si="81"/>
        <v>132418.72</v>
      </c>
      <c r="I197" s="81">
        <f t="shared" si="81"/>
        <v>74200</v>
      </c>
      <c r="J197" s="137"/>
    </row>
    <row r="198" spans="1:18" ht="25.5" customHeight="1" x14ac:dyDescent="0.25">
      <c r="A198" s="78" t="s">
        <v>21</v>
      </c>
      <c r="B198" s="120">
        <v>774</v>
      </c>
      <c r="C198" s="79" t="s">
        <v>17</v>
      </c>
      <c r="D198" s="79" t="s">
        <v>10</v>
      </c>
      <c r="E198" s="79" t="s">
        <v>185</v>
      </c>
      <c r="F198" s="79" t="s">
        <v>22</v>
      </c>
      <c r="G198" s="70">
        <f t="shared" si="81"/>
        <v>124000</v>
      </c>
      <c r="H198" s="81">
        <f t="shared" si="81"/>
        <v>132418.72</v>
      </c>
      <c r="I198" s="81">
        <f t="shared" si="81"/>
        <v>74200</v>
      </c>
      <c r="J198" s="137"/>
    </row>
    <row r="199" spans="1:18" ht="25.5" customHeight="1" x14ac:dyDescent="0.25">
      <c r="A199" s="78" t="s">
        <v>23</v>
      </c>
      <c r="B199" s="120">
        <v>774</v>
      </c>
      <c r="C199" s="79" t="s">
        <v>17</v>
      </c>
      <c r="D199" s="79" t="s">
        <v>10</v>
      </c>
      <c r="E199" s="79" t="s">
        <v>185</v>
      </c>
      <c r="F199" s="79" t="s">
        <v>24</v>
      </c>
      <c r="G199" s="70">
        <v>124000</v>
      </c>
      <c r="H199" s="81">
        <v>132418.72</v>
      </c>
      <c r="I199" s="81">
        <v>74200</v>
      </c>
      <c r="J199" s="137"/>
    </row>
    <row r="200" spans="1:18" s="3" customFormat="1" ht="25.5" hidden="1" customHeight="1" x14ac:dyDescent="0.25">
      <c r="A200" s="16" t="s">
        <v>336</v>
      </c>
      <c r="B200" s="14">
        <v>774</v>
      </c>
      <c r="C200" s="15" t="s">
        <v>17</v>
      </c>
      <c r="D200" s="15" t="s">
        <v>10</v>
      </c>
      <c r="E200" s="15" t="s">
        <v>135</v>
      </c>
      <c r="F200" s="79"/>
      <c r="G200" s="81">
        <f t="shared" ref="G200:I204" si="82">G201</f>
        <v>0</v>
      </c>
      <c r="H200" s="81">
        <f t="shared" si="82"/>
        <v>0</v>
      </c>
      <c r="I200" s="81">
        <f t="shared" si="82"/>
        <v>0</v>
      </c>
      <c r="J200" s="137"/>
      <c r="K200" s="153"/>
      <c r="L200" s="153"/>
      <c r="M200" s="153"/>
      <c r="N200" s="153"/>
      <c r="O200" s="153"/>
      <c r="P200" s="153"/>
      <c r="Q200" s="153"/>
      <c r="R200" s="153"/>
    </row>
    <row r="201" spans="1:18" s="3" customFormat="1" ht="26.4" hidden="1" x14ac:dyDescent="0.25">
      <c r="A201" s="16" t="s">
        <v>21</v>
      </c>
      <c r="B201" s="14">
        <v>774</v>
      </c>
      <c r="C201" s="15" t="s">
        <v>17</v>
      </c>
      <c r="D201" s="15" t="s">
        <v>10</v>
      </c>
      <c r="E201" s="15" t="s">
        <v>135</v>
      </c>
      <c r="F201" s="79" t="s">
        <v>22</v>
      </c>
      <c r="G201" s="81">
        <f t="shared" si="82"/>
        <v>0</v>
      </c>
      <c r="H201" s="81">
        <f t="shared" si="82"/>
        <v>0</v>
      </c>
      <c r="I201" s="81">
        <f t="shared" si="82"/>
        <v>0</v>
      </c>
      <c r="J201" s="137"/>
      <c r="K201" s="153"/>
      <c r="L201" s="153"/>
      <c r="M201" s="153"/>
      <c r="N201" s="153"/>
      <c r="O201" s="153"/>
      <c r="P201" s="153"/>
      <c r="Q201" s="153"/>
      <c r="R201" s="153"/>
    </row>
    <row r="202" spans="1:18" s="3" customFormat="1" hidden="1" x14ac:dyDescent="0.25">
      <c r="A202" s="16" t="s">
        <v>23</v>
      </c>
      <c r="B202" s="14">
        <v>774</v>
      </c>
      <c r="C202" s="15" t="s">
        <v>17</v>
      </c>
      <c r="D202" s="15" t="s">
        <v>10</v>
      </c>
      <c r="E202" s="15" t="s">
        <v>135</v>
      </c>
      <c r="F202" s="79" t="s">
        <v>24</v>
      </c>
      <c r="G202" s="70"/>
      <c r="H202" s="81"/>
      <c r="I202" s="81"/>
      <c r="J202" s="137"/>
      <c r="K202" s="153"/>
      <c r="L202" s="153"/>
      <c r="M202" s="153"/>
      <c r="N202" s="153"/>
      <c r="O202" s="153"/>
      <c r="P202" s="153"/>
      <c r="Q202" s="153"/>
      <c r="R202" s="153"/>
    </row>
    <row r="203" spans="1:18" s="3" customFormat="1" ht="25.5" hidden="1" customHeight="1" x14ac:dyDescent="0.25">
      <c r="A203" s="16" t="s">
        <v>536</v>
      </c>
      <c r="B203" s="14">
        <v>774</v>
      </c>
      <c r="C203" s="15" t="s">
        <v>17</v>
      </c>
      <c r="D203" s="15" t="s">
        <v>10</v>
      </c>
      <c r="E203" s="15" t="s">
        <v>535</v>
      </c>
      <c r="F203" s="79"/>
      <c r="G203" s="81">
        <f t="shared" si="82"/>
        <v>0</v>
      </c>
      <c r="H203" s="81">
        <f t="shared" si="82"/>
        <v>0</v>
      </c>
      <c r="I203" s="81">
        <f t="shared" si="82"/>
        <v>0</v>
      </c>
      <c r="J203" s="137"/>
      <c r="K203" s="153"/>
      <c r="L203" s="153"/>
      <c r="M203" s="153"/>
      <c r="N203" s="153"/>
      <c r="O203" s="153"/>
      <c r="P203" s="153"/>
      <c r="Q203" s="153"/>
      <c r="R203" s="153"/>
    </row>
    <row r="204" spans="1:18" s="3" customFormat="1" ht="26.4" hidden="1" x14ac:dyDescent="0.25">
      <c r="A204" s="16" t="s">
        <v>21</v>
      </c>
      <c r="B204" s="14">
        <v>774</v>
      </c>
      <c r="C204" s="15" t="s">
        <v>17</v>
      </c>
      <c r="D204" s="15" t="s">
        <v>10</v>
      </c>
      <c r="E204" s="15" t="s">
        <v>535</v>
      </c>
      <c r="F204" s="79" t="s">
        <v>22</v>
      </c>
      <c r="G204" s="81">
        <f t="shared" si="82"/>
        <v>0</v>
      </c>
      <c r="H204" s="81">
        <f t="shared" si="82"/>
        <v>0</v>
      </c>
      <c r="I204" s="81">
        <f t="shared" si="82"/>
        <v>0</v>
      </c>
      <c r="J204" s="137"/>
      <c r="K204" s="153"/>
      <c r="L204" s="153"/>
      <c r="M204" s="153"/>
      <c r="N204" s="153"/>
      <c r="O204" s="153"/>
      <c r="P204" s="153"/>
      <c r="Q204" s="153"/>
      <c r="R204" s="153"/>
    </row>
    <row r="205" spans="1:18" s="3" customFormat="1" hidden="1" x14ac:dyDescent="0.25">
      <c r="A205" s="16" t="s">
        <v>23</v>
      </c>
      <c r="B205" s="14">
        <v>774</v>
      </c>
      <c r="C205" s="15" t="s">
        <v>17</v>
      </c>
      <c r="D205" s="15" t="s">
        <v>10</v>
      </c>
      <c r="E205" s="15" t="s">
        <v>535</v>
      </c>
      <c r="F205" s="79" t="s">
        <v>24</v>
      </c>
      <c r="G205" s="70"/>
      <c r="H205" s="81"/>
      <c r="I205" s="81"/>
      <c r="J205" s="137"/>
      <c r="K205" s="153"/>
      <c r="L205" s="153"/>
      <c r="M205" s="153"/>
      <c r="N205" s="153"/>
      <c r="O205" s="153"/>
      <c r="P205" s="153"/>
      <c r="Q205" s="153"/>
      <c r="R205" s="153"/>
    </row>
    <row r="206" spans="1:18" ht="22.5" customHeight="1" x14ac:dyDescent="0.25">
      <c r="A206" s="111" t="s">
        <v>18</v>
      </c>
      <c r="B206" s="79" t="s">
        <v>67</v>
      </c>
      <c r="C206" s="79" t="s">
        <v>17</v>
      </c>
      <c r="D206" s="79" t="s">
        <v>19</v>
      </c>
      <c r="E206" s="79"/>
      <c r="F206" s="79"/>
      <c r="G206" s="81">
        <f>G207</f>
        <v>732878090.73000002</v>
      </c>
      <c r="H206" s="81">
        <f t="shared" ref="H206:I206" si="83">H207</f>
        <v>744265400.94999993</v>
      </c>
      <c r="I206" s="81">
        <f t="shared" si="83"/>
        <v>780968114.83999991</v>
      </c>
      <c r="J206" s="137"/>
      <c r="N206" s="160"/>
      <c r="O206" s="160">
        <f t="shared" ref="O206:P206" si="84">H206-H214</f>
        <v>301305850.32999992</v>
      </c>
      <c r="P206" s="160">
        <f t="shared" si="84"/>
        <v>310813111.77999991</v>
      </c>
    </row>
    <row r="207" spans="1:18" s="28" customFormat="1" ht="36" customHeight="1" x14ac:dyDescent="0.25">
      <c r="A207" s="16" t="s">
        <v>362</v>
      </c>
      <c r="B207" s="79" t="s">
        <v>67</v>
      </c>
      <c r="C207" s="79" t="s">
        <v>17</v>
      </c>
      <c r="D207" s="79" t="s">
        <v>19</v>
      </c>
      <c r="E207" s="79" t="s">
        <v>108</v>
      </c>
      <c r="F207" s="133"/>
      <c r="G207" s="81">
        <f>G208+G235+G254</f>
        <v>732878090.73000002</v>
      </c>
      <c r="H207" s="81">
        <f>H208+H235+H254</f>
        <v>744265400.94999993</v>
      </c>
      <c r="I207" s="81">
        <f>I208+I235+I254</f>
        <v>780968114.83999991</v>
      </c>
      <c r="J207" s="137"/>
      <c r="K207" s="156"/>
      <c r="L207" s="156"/>
      <c r="M207" s="156"/>
      <c r="N207" s="161"/>
      <c r="O207" s="156"/>
      <c r="P207" s="156"/>
      <c r="Q207" s="156"/>
      <c r="R207" s="156"/>
    </row>
    <row r="208" spans="1:18" ht="54" customHeight="1" x14ac:dyDescent="0.25">
      <c r="A208" s="78" t="s">
        <v>386</v>
      </c>
      <c r="B208" s="79" t="s">
        <v>67</v>
      </c>
      <c r="C208" s="79" t="s">
        <v>17</v>
      </c>
      <c r="D208" s="79" t="s">
        <v>19</v>
      </c>
      <c r="E208" s="79" t="s">
        <v>132</v>
      </c>
      <c r="F208" s="79"/>
      <c r="G208" s="81">
        <f>G209+G212+G215+G218+G221+G224+G227+G231</f>
        <v>716060693.44000006</v>
      </c>
      <c r="H208" s="81">
        <f t="shared" ref="H208:I208" si="85">H209+H212+H215+H218+H221+H224+H227+H231</f>
        <v>738584679.59000003</v>
      </c>
      <c r="I208" s="81">
        <f t="shared" si="85"/>
        <v>775170310.15999997</v>
      </c>
      <c r="J208" s="137"/>
      <c r="K208" s="137"/>
      <c r="L208" s="137"/>
      <c r="M208" s="137"/>
      <c r="N208" s="137"/>
      <c r="O208" s="137"/>
    </row>
    <row r="209" spans="1:19" ht="111" customHeight="1" x14ac:dyDescent="0.25">
      <c r="A209" s="276" t="s">
        <v>495</v>
      </c>
      <c r="B209" s="79" t="s">
        <v>67</v>
      </c>
      <c r="C209" s="79" t="s">
        <v>17</v>
      </c>
      <c r="D209" s="79" t="s">
        <v>19</v>
      </c>
      <c r="E209" s="79" t="s">
        <v>446</v>
      </c>
      <c r="F209" s="79"/>
      <c r="G209" s="81">
        <f t="shared" ref="G209:I210" si="86">G210</f>
        <v>31355000</v>
      </c>
      <c r="H209" s="81">
        <f t="shared" si="86"/>
        <v>41679000</v>
      </c>
      <c r="I209" s="81">
        <f t="shared" si="86"/>
        <v>43180000</v>
      </c>
      <c r="J209" s="137"/>
      <c r="K209" s="137"/>
      <c r="L209" s="137"/>
      <c r="N209" s="160"/>
      <c r="Q209" s="160"/>
    </row>
    <row r="210" spans="1:19" s="18" customFormat="1" ht="26.4" x14ac:dyDescent="0.25">
      <c r="A210" s="78" t="s">
        <v>21</v>
      </c>
      <c r="B210" s="79" t="s">
        <v>67</v>
      </c>
      <c r="C210" s="79" t="s">
        <v>17</v>
      </c>
      <c r="D210" s="79" t="s">
        <v>19</v>
      </c>
      <c r="E210" s="79" t="s">
        <v>446</v>
      </c>
      <c r="F210" s="79" t="s">
        <v>22</v>
      </c>
      <c r="G210" s="81">
        <f t="shared" si="86"/>
        <v>31355000</v>
      </c>
      <c r="H210" s="81">
        <f t="shared" si="86"/>
        <v>41679000</v>
      </c>
      <c r="I210" s="81">
        <f t="shared" si="86"/>
        <v>43180000</v>
      </c>
      <c r="J210" s="137"/>
      <c r="K210" s="154"/>
      <c r="L210" s="154"/>
      <c r="M210" s="164"/>
      <c r="N210" s="164"/>
      <c r="O210" s="154"/>
      <c r="P210" s="154"/>
      <c r="Q210" s="164"/>
      <c r="R210" s="154"/>
    </row>
    <row r="211" spans="1:19" s="18" customFormat="1" x14ac:dyDescent="0.25">
      <c r="A211" s="78" t="s">
        <v>23</v>
      </c>
      <c r="B211" s="79" t="s">
        <v>67</v>
      </c>
      <c r="C211" s="79" t="s">
        <v>17</v>
      </c>
      <c r="D211" s="79" t="s">
        <v>19</v>
      </c>
      <c r="E211" s="79" t="s">
        <v>446</v>
      </c>
      <c r="F211" s="79" t="s">
        <v>24</v>
      </c>
      <c r="G211" s="70">
        <v>31355000</v>
      </c>
      <c r="H211" s="81">
        <v>41679000</v>
      </c>
      <c r="I211" s="81">
        <v>43180000</v>
      </c>
      <c r="J211" s="137"/>
      <c r="K211" s="154"/>
      <c r="L211" s="154"/>
      <c r="M211" s="154"/>
      <c r="N211" s="154"/>
      <c r="O211" s="154"/>
      <c r="P211" s="154"/>
      <c r="Q211" s="154"/>
      <c r="R211" s="154"/>
    </row>
    <row r="212" spans="1:19" s="18" customFormat="1" ht="40.5" customHeight="1" x14ac:dyDescent="0.25">
      <c r="A212" s="276" t="s">
        <v>443</v>
      </c>
      <c r="B212" s="79" t="s">
        <v>67</v>
      </c>
      <c r="C212" s="79" t="s">
        <v>17</v>
      </c>
      <c r="D212" s="79" t="s">
        <v>19</v>
      </c>
      <c r="E212" s="79" t="s">
        <v>442</v>
      </c>
      <c r="F212" s="15"/>
      <c r="G212" s="70">
        <f t="shared" ref="G212:I213" si="87">G213</f>
        <v>435276727.60000002</v>
      </c>
      <c r="H212" s="70">
        <f t="shared" si="87"/>
        <v>442959550.62</v>
      </c>
      <c r="I212" s="70">
        <f t="shared" si="87"/>
        <v>470155003.06</v>
      </c>
      <c r="J212" s="136"/>
      <c r="K212" s="141"/>
      <c r="L212" s="141"/>
      <c r="M212" s="141"/>
      <c r="N212" s="141"/>
      <c r="O212" s="141"/>
      <c r="P212" s="141"/>
      <c r="Q212" s="141"/>
      <c r="R212" s="141"/>
    </row>
    <row r="213" spans="1:19" s="18" customFormat="1" ht="26.4" x14ac:dyDescent="0.25">
      <c r="A213" s="78" t="s">
        <v>21</v>
      </c>
      <c r="B213" s="79" t="s">
        <v>67</v>
      </c>
      <c r="C213" s="79" t="s">
        <v>17</v>
      </c>
      <c r="D213" s="79" t="s">
        <v>19</v>
      </c>
      <c r="E213" s="79" t="s">
        <v>442</v>
      </c>
      <c r="F213" s="79" t="s">
        <v>22</v>
      </c>
      <c r="G213" s="70">
        <f t="shared" si="87"/>
        <v>435276727.60000002</v>
      </c>
      <c r="H213" s="81">
        <f t="shared" si="87"/>
        <v>442959550.62</v>
      </c>
      <c r="I213" s="81">
        <f t="shared" si="87"/>
        <v>470155003.06</v>
      </c>
      <c r="J213" s="137"/>
      <c r="K213" s="154"/>
      <c r="L213" s="154"/>
      <c r="M213" s="154"/>
      <c r="N213" s="154"/>
      <c r="O213" s="154"/>
      <c r="P213" s="154"/>
      <c r="Q213" s="170"/>
      <c r="R213" s="154"/>
    </row>
    <row r="214" spans="1:19" s="18" customFormat="1" x14ac:dyDescent="0.25">
      <c r="A214" s="78" t="s">
        <v>23</v>
      </c>
      <c r="B214" s="79" t="s">
        <v>67</v>
      </c>
      <c r="C214" s="79" t="s">
        <v>17</v>
      </c>
      <c r="D214" s="79" t="s">
        <v>19</v>
      </c>
      <c r="E214" s="79" t="s">
        <v>442</v>
      </c>
      <c r="F214" s="79" t="s">
        <v>24</v>
      </c>
      <c r="G214" s="70">
        <v>435276727.60000002</v>
      </c>
      <c r="H214" s="81">
        <v>442959550.62</v>
      </c>
      <c r="I214" s="81">
        <v>470155003.06</v>
      </c>
      <c r="J214" s="137"/>
      <c r="K214" s="154"/>
      <c r="L214" s="154"/>
      <c r="M214" s="154"/>
      <c r="N214" s="154"/>
      <c r="O214" s="154"/>
      <c r="P214" s="154"/>
      <c r="Q214" s="154"/>
      <c r="R214" s="154"/>
    </row>
    <row r="215" spans="1:19" ht="57" customHeight="1" x14ac:dyDescent="0.25">
      <c r="A215" s="78" t="s">
        <v>75</v>
      </c>
      <c r="B215" s="79" t="s">
        <v>67</v>
      </c>
      <c r="C215" s="79" t="s">
        <v>17</v>
      </c>
      <c r="D215" s="79" t="s">
        <v>19</v>
      </c>
      <c r="E215" s="79" t="s">
        <v>136</v>
      </c>
      <c r="F215" s="79"/>
      <c r="G215" s="70">
        <f>G216</f>
        <v>189908128.24000001</v>
      </c>
      <c r="H215" s="70">
        <f t="shared" ref="H215:I215" si="88">H216</f>
        <v>194504453.37</v>
      </c>
      <c r="I215" s="70">
        <f t="shared" si="88"/>
        <v>202404631.5</v>
      </c>
      <c r="J215" s="137"/>
      <c r="Q215" s="171"/>
    </row>
    <row r="216" spans="1:19" ht="26.4" x14ac:dyDescent="0.25">
      <c r="A216" s="78" t="s">
        <v>21</v>
      </c>
      <c r="B216" s="79" t="s">
        <v>67</v>
      </c>
      <c r="C216" s="79" t="s">
        <v>17</v>
      </c>
      <c r="D216" s="79" t="s">
        <v>19</v>
      </c>
      <c r="E216" s="79" t="s">
        <v>136</v>
      </c>
      <c r="F216" s="79" t="s">
        <v>22</v>
      </c>
      <c r="G216" s="70">
        <f>G217</f>
        <v>189908128.24000001</v>
      </c>
      <c r="H216" s="81">
        <f>H217</f>
        <v>194504453.37</v>
      </c>
      <c r="I216" s="81">
        <f>I217</f>
        <v>202404631.5</v>
      </c>
      <c r="J216" s="137"/>
    </row>
    <row r="217" spans="1:19" x14ac:dyDescent="0.25">
      <c r="A217" s="78" t="s">
        <v>23</v>
      </c>
      <c r="B217" s="79" t="s">
        <v>67</v>
      </c>
      <c r="C217" s="79" t="s">
        <v>17</v>
      </c>
      <c r="D217" s="79" t="s">
        <v>19</v>
      </c>
      <c r="E217" s="79" t="s">
        <v>136</v>
      </c>
      <c r="F217" s="79" t="s">
        <v>24</v>
      </c>
      <c r="G217" s="70">
        <v>189908128.24000001</v>
      </c>
      <c r="H217" s="81">
        <f>197504453.37-3000000</f>
        <v>194504453.37</v>
      </c>
      <c r="I217" s="81">
        <f>205404631.5-3000000</f>
        <v>202404631.5</v>
      </c>
      <c r="J217" s="137"/>
    </row>
    <row r="218" spans="1:19" s="18" customFormat="1" x14ac:dyDescent="0.25">
      <c r="A218" s="78" t="s">
        <v>305</v>
      </c>
      <c r="B218" s="120">
        <v>774</v>
      </c>
      <c r="C218" s="79" t="s">
        <v>17</v>
      </c>
      <c r="D218" s="79" t="s">
        <v>19</v>
      </c>
      <c r="E218" s="79" t="s">
        <v>313</v>
      </c>
      <c r="F218" s="79"/>
      <c r="G218" s="70">
        <f t="shared" ref="G218:I219" si="89">G219</f>
        <v>1143340</v>
      </c>
      <c r="H218" s="81">
        <f t="shared" si="89"/>
        <v>1154000</v>
      </c>
      <c r="I218" s="81">
        <f t="shared" si="89"/>
        <v>1143000</v>
      </c>
      <c r="J218" s="137"/>
      <c r="K218" s="154"/>
      <c r="L218" s="154"/>
      <c r="M218" s="154"/>
      <c r="N218" s="154"/>
      <c r="O218" s="154"/>
      <c r="P218" s="154"/>
      <c r="Q218" s="164"/>
      <c r="R218" s="164"/>
      <c r="S218" s="17"/>
    </row>
    <row r="219" spans="1:19" s="18" customFormat="1" ht="26.25" customHeight="1" x14ac:dyDescent="0.25">
      <c r="A219" s="78" t="s">
        <v>21</v>
      </c>
      <c r="B219" s="120">
        <v>774</v>
      </c>
      <c r="C219" s="79" t="s">
        <v>17</v>
      </c>
      <c r="D219" s="79" t="s">
        <v>19</v>
      </c>
      <c r="E219" s="79" t="s">
        <v>313</v>
      </c>
      <c r="F219" s="79" t="s">
        <v>22</v>
      </c>
      <c r="G219" s="70">
        <f t="shared" si="89"/>
        <v>1143340</v>
      </c>
      <c r="H219" s="81">
        <f t="shared" si="89"/>
        <v>1154000</v>
      </c>
      <c r="I219" s="81">
        <f t="shared" si="89"/>
        <v>1143000</v>
      </c>
      <c r="J219" s="137"/>
      <c r="K219" s="154"/>
      <c r="L219" s="154"/>
      <c r="M219" s="154"/>
      <c r="N219" s="154"/>
      <c r="O219" s="154"/>
      <c r="P219" s="154"/>
      <c r="Q219" s="164"/>
      <c r="R219" s="164"/>
      <c r="S219" s="17"/>
    </row>
    <row r="220" spans="1:19" s="18" customFormat="1" x14ac:dyDescent="0.25">
      <c r="A220" s="78" t="s">
        <v>23</v>
      </c>
      <c r="B220" s="120">
        <v>774</v>
      </c>
      <c r="C220" s="79" t="s">
        <v>17</v>
      </c>
      <c r="D220" s="79" t="s">
        <v>19</v>
      </c>
      <c r="E220" s="79" t="s">
        <v>313</v>
      </c>
      <c r="F220" s="79" t="s">
        <v>24</v>
      </c>
      <c r="G220" s="70">
        <v>1143340</v>
      </c>
      <c r="H220" s="81">
        <v>1154000</v>
      </c>
      <c r="I220" s="81">
        <v>1143000</v>
      </c>
      <c r="J220" s="137"/>
      <c r="K220" s="154"/>
      <c r="L220" s="154"/>
      <c r="M220" s="154"/>
      <c r="N220" s="154"/>
      <c r="O220" s="154"/>
      <c r="P220" s="154"/>
      <c r="Q220" s="164"/>
      <c r="R220" s="164"/>
      <c r="S220" s="17"/>
    </row>
    <row r="221" spans="1:19" s="3" customFormat="1" ht="66" hidden="1" x14ac:dyDescent="0.25">
      <c r="A221" s="95" t="s">
        <v>320</v>
      </c>
      <c r="B221" s="120">
        <v>774</v>
      </c>
      <c r="C221" s="79" t="s">
        <v>17</v>
      </c>
      <c r="D221" s="79" t="s">
        <v>19</v>
      </c>
      <c r="E221" s="15" t="s">
        <v>293</v>
      </c>
      <c r="F221" s="15"/>
      <c r="G221" s="70">
        <f>G223</f>
        <v>0</v>
      </c>
      <c r="H221" s="70">
        <f>H223</f>
        <v>0</v>
      </c>
      <c r="I221" s="81">
        <f>I223</f>
        <v>0</v>
      </c>
      <c r="J221" s="137"/>
      <c r="K221" s="153"/>
      <c r="L221" s="153"/>
      <c r="M221" s="153"/>
      <c r="N221" s="153"/>
      <c r="O221" s="153"/>
      <c r="P221" s="153"/>
      <c r="Q221" s="153"/>
      <c r="R221" s="153"/>
    </row>
    <row r="222" spans="1:19" ht="26.4" hidden="1" x14ac:dyDescent="0.25">
      <c r="A222" s="78" t="s">
        <v>21</v>
      </c>
      <c r="B222" s="79" t="s">
        <v>67</v>
      </c>
      <c r="C222" s="79" t="s">
        <v>17</v>
      </c>
      <c r="D222" s="79" t="s">
        <v>19</v>
      </c>
      <c r="E222" s="15" t="s">
        <v>293</v>
      </c>
      <c r="F222" s="15" t="s">
        <v>22</v>
      </c>
      <c r="G222" s="70">
        <f>G223</f>
        <v>0</v>
      </c>
      <c r="H222" s="70">
        <f>H223</f>
        <v>0</v>
      </c>
      <c r="I222" s="81">
        <f>I223</f>
        <v>0</v>
      </c>
      <c r="J222" s="137"/>
    </row>
    <row r="223" spans="1:19" s="3" customFormat="1" hidden="1" x14ac:dyDescent="0.25">
      <c r="A223" s="78" t="s">
        <v>23</v>
      </c>
      <c r="B223" s="120">
        <v>774</v>
      </c>
      <c r="C223" s="79" t="s">
        <v>17</v>
      </c>
      <c r="D223" s="79" t="s">
        <v>19</v>
      </c>
      <c r="E223" s="15" t="s">
        <v>293</v>
      </c>
      <c r="F223" s="15" t="s">
        <v>24</v>
      </c>
      <c r="G223" s="70"/>
      <c r="H223" s="70"/>
      <c r="I223" s="81"/>
      <c r="J223" s="137"/>
      <c r="K223" s="153"/>
      <c r="L223" s="153"/>
      <c r="M223" s="153"/>
      <c r="N223" s="153"/>
      <c r="O223" s="153"/>
      <c r="P223" s="153"/>
      <c r="Q223" s="153"/>
      <c r="R223" s="153"/>
    </row>
    <row r="224" spans="1:19" s="18" customFormat="1" ht="51" hidden="1" customHeight="1" x14ac:dyDescent="0.25">
      <c r="A224" s="194" t="s">
        <v>315</v>
      </c>
      <c r="B224" s="79" t="s">
        <v>67</v>
      </c>
      <c r="C224" s="79" t="s">
        <v>17</v>
      </c>
      <c r="D224" s="79" t="s">
        <v>19</v>
      </c>
      <c r="E224" s="15" t="s">
        <v>319</v>
      </c>
      <c r="F224" s="15"/>
      <c r="G224" s="70">
        <f t="shared" ref="G224:I225" si="90">G225</f>
        <v>0</v>
      </c>
      <c r="H224" s="70">
        <f t="shared" si="90"/>
        <v>0</v>
      </c>
      <c r="I224" s="81">
        <f t="shared" si="90"/>
        <v>0</v>
      </c>
      <c r="J224" s="137"/>
      <c r="K224" s="154"/>
      <c r="L224" s="154"/>
      <c r="M224" s="154"/>
      <c r="N224" s="154"/>
      <c r="O224" s="154"/>
      <c r="P224" s="154"/>
      <c r="Q224" s="154"/>
      <c r="R224" s="154"/>
    </row>
    <row r="225" spans="1:18" s="18" customFormat="1" ht="26.4" hidden="1" x14ac:dyDescent="0.25">
      <c r="A225" s="78" t="s">
        <v>21</v>
      </c>
      <c r="B225" s="79" t="s">
        <v>67</v>
      </c>
      <c r="C225" s="79" t="s">
        <v>17</v>
      </c>
      <c r="D225" s="79" t="s">
        <v>19</v>
      </c>
      <c r="E225" s="15" t="s">
        <v>319</v>
      </c>
      <c r="F225" s="15" t="s">
        <v>22</v>
      </c>
      <c r="G225" s="70">
        <f t="shared" si="90"/>
        <v>0</v>
      </c>
      <c r="H225" s="70">
        <f t="shared" si="90"/>
        <v>0</v>
      </c>
      <c r="I225" s="81">
        <f t="shared" si="90"/>
        <v>0</v>
      </c>
      <c r="J225" s="137"/>
      <c r="K225" s="154"/>
      <c r="L225" s="154"/>
      <c r="M225" s="154"/>
      <c r="N225" s="154"/>
      <c r="O225" s="154"/>
      <c r="P225" s="154"/>
      <c r="Q225" s="154"/>
      <c r="R225" s="154"/>
    </row>
    <row r="226" spans="1:18" hidden="1" x14ac:dyDescent="0.25">
      <c r="A226" s="78" t="s">
        <v>23</v>
      </c>
      <c r="B226" s="79" t="s">
        <v>67</v>
      </c>
      <c r="C226" s="79" t="s">
        <v>17</v>
      </c>
      <c r="D226" s="79" t="s">
        <v>19</v>
      </c>
      <c r="E226" s="15" t="s">
        <v>319</v>
      </c>
      <c r="F226" s="15" t="s">
        <v>24</v>
      </c>
      <c r="G226" s="70"/>
      <c r="H226" s="70"/>
      <c r="I226" s="81"/>
      <c r="J226" s="137"/>
    </row>
    <row r="227" spans="1:18" s="18" customFormat="1" ht="92.4" x14ac:dyDescent="0.25">
      <c r="A227" s="206" t="s">
        <v>345</v>
      </c>
      <c r="B227" s="15" t="s">
        <v>67</v>
      </c>
      <c r="C227" s="15" t="s">
        <v>17</v>
      </c>
      <c r="D227" s="15" t="s">
        <v>19</v>
      </c>
      <c r="E227" s="15" t="s">
        <v>283</v>
      </c>
      <c r="F227" s="15"/>
      <c r="G227" s="70">
        <f t="shared" ref="G227:I228" si="91">G228</f>
        <v>89822</v>
      </c>
      <c r="H227" s="70">
        <f t="shared" si="91"/>
        <v>0</v>
      </c>
      <c r="I227" s="70">
        <f t="shared" si="91"/>
        <v>0</v>
      </c>
      <c r="J227" s="136"/>
      <c r="K227" s="141"/>
      <c r="L227" s="141"/>
      <c r="M227" s="141"/>
      <c r="N227" s="141"/>
      <c r="O227" s="141"/>
      <c r="P227" s="141"/>
      <c r="Q227" s="141"/>
      <c r="R227" s="141"/>
    </row>
    <row r="228" spans="1:18" s="18" customFormat="1" ht="26.4" x14ac:dyDescent="0.25">
      <c r="A228" s="78" t="s">
        <v>21</v>
      </c>
      <c r="B228" s="79" t="s">
        <v>67</v>
      </c>
      <c r="C228" s="79" t="s">
        <v>17</v>
      </c>
      <c r="D228" s="79" t="s">
        <v>19</v>
      </c>
      <c r="E228" s="15" t="s">
        <v>283</v>
      </c>
      <c r="F228" s="15" t="s">
        <v>22</v>
      </c>
      <c r="G228" s="70">
        <f t="shared" si="91"/>
        <v>89822</v>
      </c>
      <c r="H228" s="70">
        <f t="shared" si="91"/>
        <v>0</v>
      </c>
      <c r="I228" s="81">
        <f t="shared" si="91"/>
        <v>0</v>
      </c>
      <c r="J228" s="137"/>
      <c r="K228" s="154"/>
      <c r="L228" s="154"/>
      <c r="M228" s="154"/>
      <c r="N228" s="154"/>
      <c r="O228" s="154"/>
      <c r="P228" s="154"/>
      <c r="Q228" s="154"/>
      <c r="R228" s="154"/>
    </row>
    <row r="229" spans="1:18" s="18" customFormat="1" x14ac:dyDescent="0.25">
      <c r="A229" s="78" t="s">
        <v>23</v>
      </c>
      <c r="B229" s="79" t="s">
        <v>67</v>
      </c>
      <c r="C229" s="79" t="s">
        <v>17</v>
      </c>
      <c r="D229" s="79" t="s">
        <v>19</v>
      </c>
      <c r="E229" s="15" t="s">
        <v>283</v>
      </c>
      <c r="F229" s="15" t="s">
        <v>24</v>
      </c>
      <c r="G229" s="70">
        <f>91028.46-1206.46</f>
        <v>89822</v>
      </c>
      <c r="H229" s="70"/>
      <c r="I229" s="81"/>
      <c r="J229" s="137"/>
      <c r="K229" s="154"/>
      <c r="L229" s="154"/>
      <c r="M229" s="154"/>
      <c r="N229" s="154"/>
      <c r="O229" s="154"/>
      <c r="P229" s="154"/>
      <c r="Q229" s="154"/>
      <c r="R229" s="154"/>
    </row>
    <row r="230" spans="1:18" s="18" customFormat="1" x14ac:dyDescent="0.25">
      <c r="A230" s="272" t="s">
        <v>515</v>
      </c>
      <c r="B230" s="15" t="s">
        <v>67</v>
      </c>
      <c r="C230" s="15" t="s">
        <v>17</v>
      </c>
      <c r="D230" s="15" t="s">
        <v>19</v>
      </c>
      <c r="E230" s="15" t="s">
        <v>514</v>
      </c>
      <c r="F230" s="15"/>
      <c r="G230" s="70">
        <f>G231</f>
        <v>58287675.600000001</v>
      </c>
      <c r="H230" s="70">
        <f t="shared" ref="H230:I231" si="92">H231</f>
        <v>58287675.600000001</v>
      </c>
      <c r="I230" s="70">
        <f t="shared" si="92"/>
        <v>58287675.600000001</v>
      </c>
      <c r="J230" s="137"/>
      <c r="K230" s="154"/>
      <c r="L230" s="154"/>
      <c r="M230" s="154"/>
      <c r="N230" s="154"/>
      <c r="O230" s="154"/>
      <c r="P230" s="154"/>
      <c r="Q230" s="154"/>
      <c r="R230" s="154"/>
    </row>
    <row r="231" spans="1:18" s="18" customFormat="1" x14ac:dyDescent="0.25">
      <c r="A231" s="272" t="s">
        <v>488</v>
      </c>
      <c r="B231" s="15" t="s">
        <v>67</v>
      </c>
      <c r="C231" s="15" t="s">
        <v>17</v>
      </c>
      <c r="D231" s="15" t="s">
        <v>19</v>
      </c>
      <c r="E231" s="15" t="s">
        <v>489</v>
      </c>
      <c r="F231" s="15"/>
      <c r="G231" s="70">
        <f>G232</f>
        <v>58287675.600000001</v>
      </c>
      <c r="H231" s="70">
        <f t="shared" si="92"/>
        <v>58287675.600000001</v>
      </c>
      <c r="I231" s="70">
        <f t="shared" si="92"/>
        <v>58287675.600000001</v>
      </c>
      <c r="J231" s="137"/>
      <c r="K231" s="154"/>
      <c r="L231" s="154"/>
      <c r="M231" s="154"/>
      <c r="N231" s="154"/>
      <c r="O231" s="154"/>
      <c r="P231" s="154"/>
      <c r="Q231" s="154"/>
      <c r="R231" s="154"/>
    </row>
    <row r="232" spans="1:18" ht="129" customHeight="1" x14ac:dyDescent="0.25">
      <c r="A232" s="207" t="s">
        <v>434</v>
      </c>
      <c r="B232" s="15" t="s">
        <v>67</v>
      </c>
      <c r="C232" s="15" t="s">
        <v>17</v>
      </c>
      <c r="D232" s="15" t="s">
        <v>19</v>
      </c>
      <c r="E232" s="79" t="s">
        <v>504</v>
      </c>
      <c r="F232" s="15"/>
      <c r="G232" s="70">
        <f t="shared" ref="G232:I232" si="93">G233</f>
        <v>58287675.600000001</v>
      </c>
      <c r="H232" s="70">
        <f t="shared" si="93"/>
        <v>58287675.600000001</v>
      </c>
      <c r="I232" s="70">
        <f t="shared" si="93"/>
        <v>58287675.600000001</v>
      </c>
      <c r="J232" s="136"/>
      <c r="K232" s="69"/>
      <c r="L232" s="69"/>
      <c r="M232" s="69"/>
      <c r="N232" s="69"/>
      <c r="O232" s="69"/>
      <c r="P232" s="69"/>
      <c r="Q232" s="69"/>
      <c r="R232" s="69"/>
    </row>
    <row r="233" spans="1:18" ht="26.4" x14ac:dyDescent="0.25">
      <c r="A233" s="78" t="s">
        <v>21</v>
      </c>
      <c r="B233" s="79" t="s">
        <v>67</v>
      </c>
      <c r="C233" s="79" t="s">
        <v>17</v>
      </c>
      <c r="D233" s="79" t="s">
        <v>19</v>
      </c>
      <c r="E233" s="15" t="s">
        <v>504</v>
      </c>
      <c r="F233" s="79" t="s">
        <v>22</v>
      </c>
      <c r="G233" s="70">
        <f>G234</f>
        <v>58287675.600000001</v>
      </c>
      <c r="H233" s="81">
        <f>H234</f>
        <v>58287675.600000001</v>
      </c>
      <c r="I233" s="81">
        <f>I234</f>
        <v>58287675.600000001</v>
      </c>
      <c r="J233" s="137"/>
    </row>
    <row r="234" spans="1:18" x14ac:dyDescent="0.25">
      <c r="A234" s="78" t="s">
        <v>23</v>
      </c>
      <c r="B234" s="79" t="s">
        <v>67</v>
      </c>
      <c r="C234" s="79" t="s">
        <v>17</v>
      </c>
      <c r="D234" s="79" t="s">
        <v>19</v>
      </c>
      <c r="E234" s="15" t="s">
        <v>504</v>
      </c>
      <c r="F234" s="79" t="s">
        <v>24</v>
      </c>
      <c r="G234" s="70">
        <v>58287675.600000001</v>
      </c>
      <c r="H234" s="81">
        <v>58287675.600000001</v>
      </c>
      <c r="I234" s="81">
        <v>58287675.600000001</v>
      </c>
      <c r="J234" s="137"/>
    </row>
    <row r="235" spans="1:18" ht="26.4" x14ac:dyDescent="0.25">
      <c r="A235" s="78" t="s">
        <v>393</v>
      </c>
      <c r="B235" s="14">
        <v>774</v>
      </c>
      <c r="C235" s="15" t="s">
        <v>17</v>
      </c>
      <c r="D235" s="15" t="s">
        <v>19</v>
      </c>
      <c r="E235" s="15" t="s">
        <v>134</v>
      </c>
      <c r="F235" s="15"/>
      <c r="G235" s="80">
        <f>G239+G242+G245+G251+G236+G248</f>
        <v>16505894.48</v>
      </c>
      <c r="H235" s="80">
        <f t="shared" ref="H235:I235" si="94">H239+H242+H245+H251+H236+H248</f>
        <v>5151956.68</v>
      </c>
      <c r="I235" s="80">
        <f t="shared" si="94"/>
        <v>5269040</v>
      </c>
      <c r="J235" s="138"/>
    </row>
    <row r="236" spans="1:18" s="3" customFormat="1" ht="52.8" x14ac:dyDescent="0.25">
      <c r="A236" s="78" t="s">
        <v>537</v>
      </c>
      <c r="B236" s="120">
        <v>774</v>
      </c>
      <c r="C236" s="79" t="s">
        <v>17</v>
      </c>
      <c r="D236" s="79" t="s">
        <v>19</v>
      </c>
      <c r="E236" s="79" t="s">
        <v>538</v>
      </c>
      <c r="F236" s="79"/>
      <c r="G236" s="81">
        <f t="shared" ref="G236:I237" si="95">G237</f>
        <v>148801.47</v>
      </c>
      <c r="H236" s="81">
        <f t="shared" si="95"/>
        <v>0</v>
      </c>
      <c r="I236" s="81">
        <f t="shared" si="95"/>
        <v>0</v>
      </c>
      <c r="J236" s="137"/>
      <c r="K236" s="153"/>
      <c r="L236" s="153"/>
      <c r="M236" s="153"/>
      <c r="N236" s="153"/>
      <c r="O236" s="153"/>
      <c r="P236" s="153"/>
      <c r="Q236" s="153"/>
      <c r="R236" s="153"/>
    </row>
    <row r="237" spans="1:18" s="3" customFormat="1" ht="26.4" x14ac:dyDescent="0.25">
      <c r="A237" s="78" t="s">
        <v>21</v>
      </c>
      <c r="B237" s="120">
        <v>774</v>
      </c>
      <c r="C237" s="79" t="s">
        <v>17</v>
      </c>
      <c r="D237" s="79" t="s">
        <v>19</v>
      </c>
      <c r="E237" s="79" t="s">
        <v>538</v>
      </c>
      <c r="F237" s="79" t="s">
        <v>22</v>
      </c>
      <c r="G237" s="81">
        <f t="shared" si="95"/>
        <v>148801.47</v>
      </c>
      <c r="H237" s="81">
        <f t="shared" si="95"/>
        <v>0</v>
      </c>
      <c r="I237" s="81">
        <f t="shared" si="95"/>
        <v>0</v>
      </c>
      <c r="J237" s="137"/>
      <c r="K237" s="153"/>
      <c r="L237" s="153"/>
      <c r="M237" s="153"/>
      <c r="N237" s="153"/>
      <c r="O237" s="153"/>
      <c r="P237" s="153"/>
      <c r="Q237" s="153"/>
      <c r="R237" s="153"/>
    </row>
    <row r="238" spans="1:18" s="3" customFormat="1" x14ac:dyDescent="0.25">
      <c r="A238" s="78" t="s">
        <v>23</v>
      </c>
      <c r="B238" s="120">
        <v>774</v>
      </c>
      <c r="C238" s="79" t="s">
        <v>17</v>
      </c>
      <c r="D238" s="79" t="s">
        <v>19</v>
      </c>
      <c r="E238" s="79" t="s">
        <v>538</v>
      </c>
      <c r="F238" s="79" t="s">
        <v>24</v>
      </c>
      <c r="G238" s="81">
        <v>148801.47</v>
      </c>
      <c r="H238" s="81"/>
      <c r="I238" s="81"/>
      <c r="J238" s="137"/>
      <c r="K238" s="153"/>
      <c r="L238" s="153"/>
      <c r="M238" s="153"/>
      <c r="N238" s="153"/>
      <c r="O238" s="153"/>
      <c r="P238" s="153"/>
      <c r="Q238" s="153"/>
      <c r="R238" s="153"/>
    </row>
    <row r="239" spans="1:18" s="3" customFormat="1" ht="39" customHeight="1" x14ac:dyDescent="0.25">
      <c r="A239" s="78" t="s">
        <v>298</v>
      </c>
      <c r="B239" s="120">
        <v>774</v>
      </c>
      <c r="C239" s="79" t="s">
        <v>17</v>
      </c>
      <c r="D239" s="79" t="s">
        <v>19</v>
      </c>
      <c r="E239" s="79" t="s">
        <v>247</v>
      </c>
      <c r="F239" s="79"/>
      <c r="G239" s="70">
        <f>G240</f>
        <v>4400000</v>
      </c>
      <c r="H239" s="81">
        <f t="shared" ref="H239:I239" si="96">H240</f>
        <v>4576000</v>
      </c>
      <c r="I239" s="81">
        <f t="shared" si="96"/>
        <v>4759040</v>
      </c>
      <c r="J239" s="137"/>
      <c r="K239" s="153"/>
      <c r="L239" s="153"/>
      <c r="M239" s="153"/>
      <c r="N239" s="153"/>
      <c r="O239" s="153"/>
      <c r="P239" s="153"/>
      <c r="Q239" s="153"/>
      <c r="R239" s="153"/>
    </row>
    <row r="240" spans="1:18" s="3" customFormat="1" ht="39" customHeight="1" x14ac:dyDescent="0.25">
      <c r="A240" s="78" t="s">
        <v>21</v>
      </c>
      <c r="B240" s="120">
        <v>774</v>
      </c>
      <c r="C240" s="79" t="s">
        <v>17</v>
      </c>
      <c r="D240" s="79" t="s">
        <v>19</v>
      </c>
      <c r="E240" s="79" t="s">
        <v>247</v>
      </c>
      <c r="F240" s="79" t="s">
        <v>22</v>
      </c>
      <c r="G240" s="70">
        <f>G241</f>
        <v>4400000</v>
      </c>
      <c r="H240" s="81">
        <f t="shared" ref="H240:I240" si="97">H241</f>
        <v>4576000</v>
      </c>
      <c r="I240" s="81">
        <f t="shared" si="97"/>
        <v>4759040</v>
      </c>
      <c r="J240" s="137"/>
      <c r="K240" s="153"/>
      <c r="L240" s="153"/>
      <c r="M240" s="153"/>
      <c r="N240" s="153"/>
      <c r="O240" s="153"/>
      <c r="P240" s="153"/>
      <c r="Q240" s="153"/>
      <c r="R240" s="153"/>
    </row>
    <row r="241" spans="1:18" s="3" customFormat="1" ht="13.5" customHeight="1" x14ac:dyDescent="0.25">
      <c r="A241" s="78" t="s">
        <v>23</v>
      </c>
      <c r="B241" s="120">
        <v>774</v>
      </c>
      <c r="C241" s="79" t="s">
        <v>17</v>
      </c>
      <c r="D241" s="79" t="s">
        <v>19</v>
      </c>
      <c r="E241" s="79" t="s">
        <v>247</v>
      </c>
      <c r="F241" s="79" t="s">
        <v>24</v>
      </c>
      <c r="G241" s="70">
        <v>4400000</v>
      </c>
      <c r="H241" s="81">
        <v>4576000</v>
      </c>
      <c r="I241" s="81">
        <v>4759040</v>
      </c>
      <c r="J241" s="137"/>
      <c r="K241" s="153"/>
      <c r="L241" s="153"/>
      <c r="M241" s="153"/>
      <c r="N241" s="153"/>
      <c r="O241" s="153"/>
      <c r="P241" s="153"/>
      <c r="Q241" s="153"/>
      <c r="R241" s="153"/>
    </row>
    <row r="242" spans="1:18" s="3" customFormat="1" ht="26.4" x14ac:dyDescent="0.25">
      <c r="A242" s="16" t="s">
        <v>336</v>
      </c>
      <c r="B242" s="14">
        <v>774</v>
      </c>
      <c r="C242" s="15" t="s">
        <v>17</v>
      </c>
      <c r="D242" s="15" t="s">
        <v>19</v>
      </c>
      <c r="E242" s="15" t="s">
        <v>135</v>
      </c>
      <c r="F242" s="15"/>
      <c r="G242" s="70">
        <f t="shared" ref="G242:I246" si="98">G243</f>
        <v>9393830</v>
      </c>
      <c r="H242" s="70">
        <f t="shared" si="98"/>
        <v>0</v>
      </c>
      <c r="I242" s="70">
        <f t="shared" si="98"/>
        <v>0</v>
      </c>
      <c r="J242" s="137"/>
      <c r="K242" s="153"/>
      <c r="L242" s="153"/>
      <c r="M242" s="153"/>
      <c r="N242" s="153"/>
      <c r="O242" s="153"/>
      <c r="P242" s="153"/>
      <c r="Q242" s="153"/>
      <c r="R242" s="153"/>
    </row>
    <row r="243" spans="1:18" s="3" customFormat="1" ht="26.4" x14ac:dyDescent="0.25">
      <c r="A243" s="16" t="s">
        <v>21</v>
      </c>
      <c r="B243" s="14">
        <v>774</v>
      </c>
      <c r="C243" s="15" t="s">
        <v>17</v>
      </c>
      <c r="D243" s="15" t="s">
        <v>19</v>
      </c>
      <c r="E243" s="15" t="s">
        <v>135</v>
      </c>
      <c r="F243" s="15" t="s">
        <v>22</v>
      </c>
      <c r="G243" s="70">
        <f t="shared" si="98"/>
        <v>9393830</v>
      </c>
      <c r="H243" s="70">
        <f t="shared" si="98"/>
        <v>0</v>
      </c>
      <c r="I243" s="70">
        <f t="shared" si="98"/>
        <v>0</v>
      </c>
      <c r="J243" s="137"/>
      <c r="K243" s="153"/>
      <c r="L243" s="153"/>
      <c r="M243" s="153"/>
      <c r="N243" s="153"/>
      <c r="O243" s="153"/>
      <c r="P243" s="153"/>
      <c r="Q243" s="153"/>
      <c r="R243" s="153"/>
    </row>
    <row r="244" spans="1:18" s="3" customFormat="1" x14ac:dyDescent="0.25">
      <c r="A244" s="16" t="s">
        <v>23</v>
      </c>
      <c r="B244" s="14">
        <v>774</v>
      </c>
      <c r="C244" s="15" t="s">
        <v>17</v>
      </c>
      <c r="D244" s="15" t="s">
        <v>19</v>
      </c>
      <c r="E244" s="15" t="s">
        <v>135</v>
      </c>
      <c r="F244" s="15" t="s">
        <v>24</v>
      </c>
      <c r="G244" s="70">
        <v>9393830</v>
      </c>
      <c r="H244" s="70"/>
      <c r="I244" s="70"/>
      <c r="J244" s="137"/>
      <c r="K244" s="153"/>
      <c r="L244" s="153"/>
      <c r="M244" s="153"/>
      <c r="N244" s="153"/>
      <c r="O244" s="153"/>
      <c r="P244" s="153"/>
      <c r="Q244" s="153"/>
      <c r="R244" s="153"/>
    </row>
    <row r="245" spans="1:18" s="3" customFormat="1" ht="26.4" x14ac:dyDescent="0.25">
      <c r="A245" s="16" t="s">
        <v>335</v>
      </c>
      <c r="B245" s="14">
        <v>774</v>
      </c>
      <c r="C245" s="15" t="s">
        <v>17</v>
      </c>
      <c r="D245" s="15" t="s">
        <v>19</v>
      </c>
      <c r="E245" s="15" t="s">
        <v>334</v>
      </c>
      <c r="F245" s="15"/>
      <c r="G245" s="70">
        <f t="shared" si="98"/>
        <v>194000</v>
      </c>
      <c r="H245" s="70">
        <f t="shared" si="98"/>
        <v>390000</v>
      </c>
      <c r="I245" s="70">
        <f t="shared" si="98"/>
        <v>390000</v>
      </c>
      <c r="J245" s="137"/>
      <c r="K245" s="153"/>
      <c r="L245" s="153"/>
      <c r="M245" s="153"/>
      <c r="N245" s="153"/>
      <c r="O245" s="153"/>
      <c r="P245" s="153"/>
      <c r="Q245" s="153"/>
      <c r="R245" s="153"/>
    </row>
    <row r="246" spans="1:18" s="3" customFormat="1" ht="26.4" x14ac:dyDescent="0.25">
      <c r="A246" s="78" t="s">
        <v>21</v>
      </c>
      <c r="B246" s="120">
        <v>774</v>
      </c>
      <c r="C246" s="79" t="s">
        <v>17</v>
      </c>
      <c r="D246" s="79" t="s">
        <v>19</v>
      </c>
      <c r="E246" s="79" t="s">
        <v>334</v>
      </c>
      <c r="F246" s="79" t="s">
        <v>22</v>
      </c>
      <c r="G246" s="70">
        <f t="shared" si="98"/>
        <v>194000</v>
      </c>
      <c r="H246" s="81">
        <f t="shared" si="98"/>
        <v>390000</v>
      </c>
      <c r="I246" s="81">
        <f t="shared" si="98"/>
        <v>390000</v>
      </c>
      <c r="J246" s="137"/>
      <c r="K246" s="153"/>
      <c r="L246" s="153"/>
      <c r="M246" s="153"/>
      <c r="N246" s="153"/>
      <c r="O246" s="153"/>
      <c r="P246" s="153"/>
      <c r="Q246" s="153"/>
      <c r="R246" s="153"/>
    </row>
    <row r="247" spans="1:18" s="3" customFormat="1" x14ac:dyDescent="0.25">
      <c r="A247" s="78" t="s">
        <v>23</v>
      </c>
      <c r="B247" s="120">
        <v>774</v>
      </c>
      <c r="C247" s="79" t="s">
        <v>17</v>
      </c>
      <c r="D247" s="79" t="s">
        <v>19</v>
      </c>
      <c r="E247" s="79" t="s">
        <v>334</v>
      </c>
      <c r="F247" s="79" t="s">
        <v>24</v>
      </c>
      <c r="G247" s="70">
        <v>194000</v>
      </c>
      <c r="H247" s="81">
        <v>390000</v>
      </c>
      <c r="I247" s="81">
        <v>390000</v>
      </c>
      <c r="J247" s="137"/>
      <c r="K247" s="153"/>
      <c r="L247" s="153"/>
      <c r="M247" s="153"/>
      <c r="N247" s="153"/>
      <c r="O247" s="153"/>
      <c r="P247" s="153"/>
      <c r="Q247" s="153"/>
      <c r="R247" s="153"/>
    </row>
    <row r="248" spans="1:18" s="122" customFormat="1" x14ac:dyDescent="0.25">
      <c r="A248" s="78" t="s">
        <v>536</v>
      </c>
      <c r="B248" s="120">
        <v>774</v>
      </c>
      <c r="C248" s="79" t="s">
        <v>17</v>
      </c>
      <c r="D248" s="79" t="s">
        <v>19</v>
      </c>
      <c r="E248" s="79" t="s">
        <v>535</v>
      </c>
      <c r="F248" s="79"/>
      <c r="G248" s="81">
        <f t="shared" ref="G248:I249" si="99">G249</f>
        <v>2194390.0099999998</v>
      </c>
      <c r="H248" s="81">
        <f t="shared" si="99"/>
        <v>0</v>
      </c>
      <c r="I248" s="81">
        <f t="shared" si="99"/>
        <v>0</v>
      </c>
      <c r="J248" s="137"/>
      <c r="K248" s="153"/>
      <c r="L248" s="153"/>
      <c r="M248" s="153"/>
      <c r="N248" s="153"/>
      <c r="O248" s="153"/>
      <c r="P248" s="153"/>
      <c r="Q248" s="153"/>
      <c r="R248" s="153"/>
    </row>
    <row r="249" spans="1:18" s="122" customFormat="1" ht="26.4" x14ac:dyDescent="0.25">
      <c r="A249" s="78" t="s">
        <v>21</v>
      </c>
      <c r="B249" s="120">
        <v>774</v>
      </c>
      <c r="C249" s="79" t="s">
        <v>17</v>
      </c>
      <c r="D249" s="79" t="s">
        <v>19</v>
      </c>
      <c r="E249" s="79" t="s">
        <v>535</v>
      </c>
      <c r="F249" s="79" t="s">
        <v>22</v>
      </c>
      <c r="G249" s="81">
        <f t="shared" si="99"/>
        <v>2194390.0099999998</v>
      </c>
      <c r="H249" s="81">
        <f t="shared" si="99"/>
        <v>0</v>
      </c>
      <c r="I249" s="81">
        <f t="shared" si="99"/>
        <v>0</v>
      </c>
      <c r="J249" s="137"/>
      <c r="K249" s="153"/>
      <c r="L249" s="153"/>
      <c r="M249" s="153"/>
      <c r="N249" s="153"/>
      <c r="O249" s="153"/>
      <c r="P249" s="153"/>
      <c r="Q249" s="153"/>
      <c r="R249" s="153"/>
    </row>
    <row r="250" spans="1:18" s="122" customFormat="1" x14ac:dyDescent="0.25">
      <c r="A250" s="78" t="s">
        <v>23</v>
      </c>
      <c r="B250" s="120">
        <v>774</v>
      </c>
      <c r="C250" s="79" t="s">
        <v>17</v>
      </c>
      <c r="D250" s="79" t="s">
        <v>19</v>
      </c>
      <c r="E250" s="79" t="s">
        <v>535</v>
      </c>
      <c r="F250" s="79" t="s">
        <v>24</v>
      </c>
      <c r="G250" s="81">
        <v>2194390.0099999998</v>
      </c>
      <c r="H250" s="81"/>
      <c r="I250" s="81"/>
      <c r="J250" s="137"/>
      <c r="K250" s="153"/>
      <c r="L250" s="153"/>
      <c r="M250" s="153"/>
      <c r="N250" s="153"/>
      <c r="O250" s="153"/>
      <c r="P250" s="153"/>
      <c r="Q250" s="153"/>
      <c r="R250" s="153"/>
    </row>
    <row r="251" spans="1:18" s="3" customFormat="1" ht="26.4" x14ac:dyDescent="0.25">
      <c r="A251" s="78" t="s">
        <v>186</v>
      </c>
      <c r="B251" s="120">
        <v>774</v>
      </c>
      <c r="C251" s="79" t="s">
        <v>17</v>
      </c>
      <c r="D251" s="79" t="s">
        <v>19</v>
      </c>
      <c r="E251" s="79" t="s">
        <v>185</v>
      </c>
      <c r="F251" s="79"/>
      <c r="G251" s="70">
        <f t="shared" ref="G251:I252" si="100">G252</f>
        <v>174873</v>
      </c>
      <c r="H251" s="81">
        <f t="shared" si="100"/>
        <v>185956.68</v>
      </c>
      <c r="I251" s="81">
        <f t="shared" si="100"/>
        <v>120000</v>
      </c>
      <c r="J251" s="137"/>
      <c r="K251" s="153"/>
      <c r="L251" s="153"/>
      <c r="M251" s="153"/>
      <c r="N251" s="153"/>
      <c r="O251" s="153"/>
      <c r="P251" s="153"/>
      <c r="Q251" s="153"/>
      <c r="R251" s="153"/>
    </row>
    <row r="252" spans="1:18" s="3" customFormat="1" ht="26.4" x14ac:dyDescent="0.25">
      <c r="A252" s="78" t="s">
        <v>21</v>
      </c>
      <c r="B252" s="120">
        <v>774</v>
      </c>
      <c r="C252" s="79" t="s">
        <v>17</v>
      </c>
      <c r="D252" s="79" t="s">
        <v>19</v>
      </c>
      <c r="E252" s="79" t="s">
        <v>185</v>
      </c>
      <c r="F252" s="79" t="s">
        <v>22</v>
      </c>
      <c r="G252" s="70">
        <f t="shared" si="100"/>
        <v>174873</v>
      </c>
      <c r="H252" s="81">
        <f t="shared" si="100"/>
        <v>185956.68</v>
      </c>
      <c r="I252" s="81">
        <f t="shared" si="100"/>
        <v>120000</v>
      </c>
      <c r="J252" s="137"/>
      <c r="K252" s="153"/>
      <c r="L252" s="153"/>
      <c r="M252" s="153"/>
      <c r="N252" s="153"/>
      <c r="O252" s="153"/>
      <c r="P252" s="153"/>
      <c r="Q252" s="153"/>
      <c r="R252" s="153"/>
    </row>
    <row r="253" spans="1:18" s="3" customFormat="1" x14ac:dyDescent="0.25">
      <c r="A253" s="78" t="s">
        <v>23</v>
      </c>
      <c r="B253" s="120">
        <v>774</v>
      </c>
      <c r="C253" s="79" t="s">
        <v>17</v>
      </c>
      <c r="D253" s="79" t="s">
        <v>19</v>
      </c>
      <c r="E253" s="79" t="s">
        <v>185</v>
      </c>
      <c r="F253" s="79" t="s">
        <v>24</v>
      </c>
      <c r="G253" s="70">
        <v>174873</v>
      </c>
      <c r="H253" s="81">
        <v>185956.68</v>
      </c>
      <c r="I253" s="81">
        <v>120000</v>
      </c>
      <c r="J253" s="137"/>
      <c r="K253" s="153"/>
      <c r="L253" s="153"/>
      <c r="M253" s="153"/>
      <c r="N253" s="153"/>
      <c r="O253" s="153"/>
      <c r="P253" s="153"/>
      <c r="Q253" s="153"/>
      <c r="R253" s="153"/>
    </row>
    <row r="254" spans="1:18" s="3" customFormat="1" ht="30" customHeight="1" x14ac:dyDescent="0.25">
      <c r="A254" s="78" t="s">
        <v>15</v>
      </c>
      <c r="B254" s="120">
        <v>774</v>
      </c>
      <c r="C254" s="79" t="s">
        <v>17</v>
      </c>
      <c r="D254" s="79" t="s">
        <v>19</v>
      </c>
      <c r="E254" s="79" t="s">
        <v>138</v>
      </c>
      <c r="F254" s="79"/>
      <c r="G254" s="81">
        <f t="shared" ref="G254:I255" si="101">G255</f>
        <v>311502.81</v>
      </c>
      <c r="H254" s="81">
        <f t="shared" si="101"/>
        <v>528764.67999999993</v>
      </c>
      <c r="I254" s="81">
        <f t="shared" si="101"/>
        <v>528764.67999999993</v>
      </c>
      <c r="J254" s="137"/>
      <c r="K254" s="153"/>
      <c r="L254" s="153"/>
      <c r="M254" s="153"/>
      <c r="N254" s="153"/>
      <c r="O254" s="153"/>
      <c r="P254" s="153"/>
      <c r="Q254" s="153"/>
      <c r="R254" s="153"/>
    </row>
    <row r="255" spans="1:18" s="3" customFormat="1" ht="51" customHeight="1" x14ac:dyDescent="0.25">
      <c r="A255" s="78" t="s">
        <v>550</v>
      </c>
      <c r="B255" s="120">
        <v>774</v>
      </c>
      <c r="C255" s="79" t="s">
        <v>17</v>
      </c>
      <c r="D255" s="79" t="s">
        <v>19</v>
      </c>
      <c r="E255" s="79" t="s">
        <v>139</v>
      </c>
      <c r="F255" s="79"/>
      <c r="G255" s="81">
        <f t="shared" si="101"/>
        <v>311502.81</v>
      </c>
      <c r="H255" s="81">
        <f t="shared" si="101"/>
        <v>528764.67999999993</v>
      </c>
      <c r="I255" s="81">
        <f t="shared" si="101"/>
        <v>528764.67999999993</v>
      </c>
      <c r="J255" s="137"/>
      <c r="K255" s="153"/>
      <c r="L255" s="153"/>
      <c r="M255" s="153"/>
      <c r="N255" s="153"/>
      <c r="O255" s="153"/>
      <c r="P255" s="153"/>
      <c r="Q255" s="153"/>
      <c r="R255" s="153"/>
    </row>
    <row r="256" spans="1:18" s="18" customFormat="1" ht="26.4" x14ac:dyDescent="0.25">
      <c r="A256" s="78" t="s">
        <v>21</v>
      </c>
      <c r="B256" s="79" t="s">
        <v>67</v>
      </c>
      <c r="C256" s="79" t="s">
        <v>17</v>
      </c>
      <c r="D256" s="79" t="s">
        <v>19</v>
      </c>
      <c r="E256" s="79" t="s">
        <v>139</v>
      </c>
      <c r="F256" s="79" t="s">
        <v>22</v>
      </c>
      <c r="G256" s="81">
        <f>G257</f>
        <v>311502.81</v>
      </c>
      <c r="H256" s="81">
        <f>H257</f>
        <v>528764.67999999993</v>
      </c>
      <c r="I256" s="81">
        <f>I257</f>
        <v>528764.67999999993</v>
      </c>
      <c r="J256" s="137"/>
      <c r="K256" s="154"/>
      <c r="L256" s="154"/>
      <c r="M256" s="154"/>
      <c r="N256" s="154"/>
      <c r="O256" s="154"/>
      <c r="P256" s="154"/>
      <c r="Q256" s="154"/>
      <c r="R256" s="154"/>
    </row>
    <row r="257" spans="1:18" s="18" customFormat="1" ht="17.25" customHeight="1" x14ac:dyDescent="0.25">
      <c r="A257" s="78" t="s">
        <v>23</v>
      </c>
      <c r="B257" s="79" t="s">
        <v>67</v>
      </c>
      <c r="C257" s="79" t="s">
        <v>17</v>
      </c>
      <c r="D257" s="79" t="s">
        <v>19</v>
      </c>
      <c r="E257" s="79" t="s">
        <v>139</v>
      </c>
      <c r="F257" s="79" t="s">
        <v>24</v>
      </c>
      <c r="G257" s="81">
        <f>166000+145502.81</f>
        <v>311502.81</v>
      </c>
      <c r="H257" s="81">
        <f>386000+342764.68-200000</f>
        <v>528764.67999999993</v>
      </c>
      <c r="I257" s="81">
        <f>386000+342764.68-200000</f>
        <v>528764.67999999993</v>
      </c>
      <c r="J257" s="70">
        <f t="shared" ref="J257:M257" si="102">366000+540034</f>
        <v>906034</v>
      </c>
      <c r="K257" s="70">
        <f t="shared" si="102"/>
        <v>906034</v>
      </c>
      <c r="L257" s="70">
        <f t="shared" si="102"/>
        <v>906034</v>
      </c>
      <c r="M257" s="70">
        <f t="shared" si="102"/>
        <v>906034</v>
      </c>
      <c r="N257" s="154"/>
      <c r="O257" s="154"/>
      <c r="P257" s="154"/>
      <c r="Q257" s="154"/>
      <c r="R257" s="154"/>
    </row>
    <row r="258" spans="1:18" ht="19.5" customHeight="1" x14ac:dyDescent="0.25">
      <c r="A258" s="78" t="s">
        <v>68</v>
      </c>
      <c r="B258" s="120">
        <v>774</v>
      </c>
      <c r="C258" s="79" t="s">
        <v>17</v>
      </c>
      <c r="D258" s="79" t="s">
        <v>49</v>
      </c>
      <c r="E258" s="79"/>
      <c r="F258" s="79"/>
      <c r="G258" s="81">
        <f>G259</f>
        <v>116343084.59</v>
      </c>
      <c r="H258" s="81">
        <f t="shared" ref="H258:I258" si="103">H259</f>
        <v>122228125.03000002</v>
      </c>
      <c r="I258" s="81">
        <f t="shared" si="103"/>
        <v>126347922.63</v>
      </c>
      <c r="J258" s="137"/>
    </row>
    <row r="259" spans="1:18" ht="40.5" customHeight="1" x14ac:dyDescent="0.25">
      <c r="A259" s="78" t="s">
        <v>362</v>
      </c>
      <c r="B259" s="120">
        <v>774</v>
      </c>
      <c r="C259" s="79" t="s">
        <v>17</v>
      </c>
      <c r="D259" s="79" t="s">
        <v>49</v>
      </c>
      <c r="E259" s="79" t="s">
        <v>108</v>
      </c>
      <c r="F259" s="79"/>
      <c r="G259" s="81">
        <f>G260+G283+G290</f>
        <v>116343084.59</v>
      </c>
      <c r="H259" s="81">
        <f t="shared" ref="H259:I259" si="104">H260+H283+H290</f>
        <v>122228125.03000002</v>
      </c>
      <c r="I259" s="81">
        <f t="shared" si="104"/>
        <v>126347922.63</v>
      </c>
      <c r="J259" s="137"/>
    </row>
    <row r="260" spans="1:18" ht="50.25" customHeight="1" x14ac:dyDescent="0.25">
      <c r="A260" s="78" t="s">
        <v>386</v>
      </c>
      <c r="B260" s="120">
        <v>774</v>
      </c>
      <c r="C260" s="79" t="s">
        <v>17</v>
      </c>
      <c r="D260" s="79" t="s">
        <v>49</v>
      </c>
      <c r="E260" s="79" t="s">
        <v>132</v>
      </c>
      <c r="F260" s="79"/>
      <c r="G260" s="81">
        <f>G261+G264+G267+G270+G273+G276</f>
        <v>115746952.04000001</v>
      </c>
      <c r="H260" s="81">
        <f t="shared" ref="H260:I260" si="105">H261+H264+H267+H270+H273+H276</f>
        <v>121179902.63000001</v>
      </c>
      <c r="I260" s="81">
        <f t="shared" si="105"/>
        <v>125324346.22999999</v>
      </c>
      <c r="J260" s="137"/>
    </row>
    <row r="261" spans="1:18" ht="106.5" customHeight="1" x14ac:dyDescent="0.25">
      <c r="A261" s="95" t="s">
        <v>495</v>
      </c>
      <c r="B261" s="79" t="s">
        <v>67</v>
      </c>
      <c r="C261" s="79" t="s">
        <v>17</v>
      </c>
      <c r="D261" s="79" t="s">
        <v>49</v>
      </c>
      <c r="E261" s="79" t="s">
        <v>446</v>
      </c>
      <c r="F261" s="79"/>
      <c r="G261" s="81">
        <f t="shared" ref="G261:I262" si="106">G262</f>
        <v>2196000</v>
      </c>
      <c r="H261" s="81">
        <f t="shared" si="106"/>
        <v>3067000</v>
      </c>
      <c r="I261" s="81">
        <f t="shared" si="106"/>
        <v>3225000</v>
      </c>
      <c r="J261" s="137"/>
    </row>
    <row r="262" spans="1:18" s="18" customFormat="1" ht="26.4" x14ac:dyDescent="0.25">
      <c r="A262" s="78" t="s">
        <v>21</v>
      </c>
      <c r="B262" s="79" t="s">
        <v>67</v>
      </c>
      <c r="C262" s="79" t="s">
        <v>17</v>
      </c>
      <c r="D262" s="79" t="s">
        <v>49</v>
      </c>
      <c r="E262" s="79" t="s">
        <v>446</v>
      </c>
      <c r="F262" s="79" t="s">
        <v>22</v>
      </c>
      <c r="G262" s="81">
        <f t="shared" si="106"/>
        <v>2196000</v>
      </c>
      <c r="H262" s="81">
        <f t="shared" si="106"/>
        <v>3067000</v>
      </c>
      <c r="I262" s="81">
        <f t="shared" si="106"/>
        <v>3225000</v>
      </c>
      <c r="J262" s="137"/>
      <c r="K262" s="154"/>
      <c r="L262" s="154"/>
      <c r="M262" s="154"/>
      <c r="N262" s="154"/>
      <c r="O262" s="154"/>
      <c r="P262" s="154"/>
      <c r="Q262" s="154"/>
      <c r="R262" s="154"/>
    </row>
    <row r="263" spans="1:18" s="18" customFormat="1" x14ac:dyDescent="0.25">
      <c r="A263" s="78" t="s">
        <v>23</v>
      </c>
      <c r="B263" s="79" t="s">
        <v>67</v>
      </c>
      <c r="C263" s="79" t="s">
        <v>17</v>
      </c>
      <c r="D263" s="79" t="s">
        <v>49</v>
      </c>
      <c r="E263" s="79" t="s">
        <v>446</v>
      </c>
      <c r="F263" s="79" t="s">
        <v>24</v>
      </c>
      <c r="G263" s="81">
        <v>2196000</v>
      </c>
      <c r="H263" s="81">
        <v>3067000</v>
      </c>
      <c r="I263" s="81">
        <v>3225000</v>
      </c>
      <c r="J263" s="137"/>
      <c r="K263" s="154"/>
      <c r="L263" s="154"/>
      <c r="M263" s="154"/>
      <c r="N263" s="154"/>
      <c r="O263" s="154"/>
      <c r="P263" s="154"/>
      <c r="Q263" s="154"/>
      <c r="R263" s="154"/>
    </row>
    <row r="264" spans="1:18" s="18" customFormat="1" ht="40.5" customHeight="1" x14ac:dyDescent="0.25">
      <c r="A264" s="206" t="s">
        <v>443</v>
      </c>
      <c r="B264" s="15" t="s">
        <v>67</v>
      </c>
      <c r="C264" s="15" t="s">
        <v>17</v>
      </c>
      <c r="D264" s="15" t="s">
        <v>49</v>
      </c>
      <c r="E264" s="15" t="s">
        <v>442</v>
      </c>
      <c r="F264" s="15"/>
      <c r="G264" s="70">
        <f t="shared" ref="G264:I265" si="107">G265</f>
        <v>75446445.900000006</v>
      </c>
      <c r="H264" s="70">
        <f t="shared" si="107"/>
        <v>78796651.530000001</v>
      </c>
      <c r="I264" s="70">
        <f t="shared" si="107"/>
        <v>82331814.989999995</v>
      </c>
      <c r="J264" s="136"/>
      <c r="K264" s="141"/>
      <c r="L264" s="141"/>
      <c r="M264" s="141"/>
      <c r="N264" s="141"/>
      <c r="O264" s="141"/>
      <c r="P264" s="141"/>
      <c r="Q264" s="141"/>
      <c r="R264" s="141"/>
    </row>
    <row r="265" spans="1:18" s="18" customFormat="1" ht="26.4" x14ac:dyDescent="0.25">
      <c r="A265" s="16" t="s">
        <v>21</v>
      </c>
      <c r="B265" s="15" t="s">
        <v>67</v>
      </c>
      <c r="C265" s="15" t="s">
        <v>17</v>
      </c>
      <c r="D265" s="15" t="s">
        <v>49</v>
      </c>
      <c r="E265" s="15" t="s">
        <v>442</v>
      </c>
      <c r="F265" s="15" t="s">
        <v>22</v>
      </c>
      <c r="G265" s="70">
        <f>G266</f>
        <v>75446445.900000006</v>
      </c>
      <c r="H265" s="70">
        <f t="shared" si="107"/>
        <v>78796651.530000001</v>
      </c>
      <c r="I265" s="70">
        <f t="shared" si="107"/>
        <v>82331814.989999995</v>
      </c>
      <c r="J265" s="136"/>
      <c r="K265" s="141"/>
      <c r="L265" s="141"/>
      <c r="M265" s="141"/>
      <c r="N265" s="141"/>
      <c r="O265" s="141"/>
      <c r="P265" s="141"/>
      <c r="Q265" s="141"/>
      <c r="R265" s="141"/>
    </row>
    <row r="266" spans="1:18" s="18" customFormat="1" x14ac:dyDescent="0.25">
      <c r="A266" s="16" t="s">
        <v>23</v>
      </c>
      <c r="B266" s="15" t="s">
        <v>67</v>
      </c>
      <c r="C266" s="15" t="s">
        <v>17</v>
      </c>
      <c r="D266" s="15" t="s">
        <v>49</v>
      </c>
      <c r="E266" s="15" t="s">
        <v>442</v>
      </c>
      <c r="F266" s="15" t="s">
        <v>24</v>
      </c>
      <c r="G266" s="70">
        <v>75446445.900000006</v>
      </c>
      <c r="H266" s="70">
        <v>78796651.530000001</v>
      </c>
      <c r="I266" s="70">
        <v>82331814.989999995</v>
      </c>
      <c r="J266" s="309" t="s">
        <v>384</v>
      </c>
      <c r="K266" s="310"/>
      <c r="L266" s="141" t="s">
        <v>385</v>
      </c>
      <c r="M266" s="141"/>
      <c r="N266" s="141"/>
      <c r="O266" s="141"/>
      <c r="P266" s="141"/>
      <c r="Q266" s="141"/>
      <c r="R266" s="141"/>
    </row>
    <row r="267" spans="1:18" s="18" customFormat="1" ht="83.25" customHeight="1" x14ac:dyDescent="0.25">
      <c r="A267" s="16" t="s">
        <v>444</v>
      </c>
      <c r="B267" s="15" t="s">
        <v>67</v>
      </c>
      <c r="C267" s="15" t="s">
        <v>17</v>
      </c>
      <c r="D267" s="15" t="s">
        <v>49</v>
      </c>
      <c r="E267" s="15" t="s">
        <v>445</v>
      </c>
      <c r="F267" s="15"/>
      <c r="G267" s="70">
        <f t="shared" ref="G267:I268" si="108">G268</f>
        <v>11791658.1</v>
      </c>
      <c r="H267" s="70">
        <f t="shared" si="108"/>
        <v>12336930.470000001</v>
      </c>
      <c r="I267" s="70">
        <f t="shared" si="108"/>
        <v>12087905.01</v>
      </c>
      <c r="J267" s="136"/>
      <c r="K267" s="141"/>
      <c r="L267" s="141"/>
      <c r="M267" s="141"/>
      <c r="N267" s="141"/>
      <c r="O267" s="141"/>
      <c r="P267" s="141"/>
      <c r="Q267" s="179"/>
      <c r="R267" s="141"/>
    </row>
    <row r="268" spans="1:18" s="18" customFormat="1" ht="26.4" x14ac:dyDescent="0.25">
      <c r="A268" s="78" t="s">
        <v>21</v>
      </c>
      <c r="B268" s="79" t="s">
        <v>67</v>
      </c>
      <c r="C268" s="79" t="s">
        <v>17</v>
      </c>
      <c r="D268" s="79" t="s">
        <v>49</v>
      </c>
      <c r="E268" s="79" t="s">
        <v>445</v>
      </c>
      <c r="F268" s="79" t="s">
        <v>22</v>
      </c>
      <c r="G268" s="81">
        <f t="shared" si="108"/>
        <v>11791658.1</v>
      </c>
      <c r="H268" s="81">
        <f t="shared" si="108"/>
        <v>12336930.470000001</v>
      </c>
      <c r="I268" s="81">
        <f t="shared" si="108"/>
        <v>12087905.01</v>
      </c>
      <c r="J268" s="137"/>
      <c r="K268" s="154"/>
      <c r="L268" s="154"/>
      <c r="M268" s="154"/>
      <c r="N268" s="154"/>
      <c r="O268" s="154"/>
      <c r="P268" s="154"/>
      <c r="Q268" s="154"/>
      <c r="R268" s="154"/>
    </row>
    <row r="269" spans="1:18" s="18" customFormat="1" x14ac:dyDescent="0.25">
      <c r="A269" s="78" t="s">
        <v>23</v>
      </c>
      <c r="B269" s="79" t="s">
        <v>67</v>
      </c>
      <c r="C269" s="79" t="s">
        <v>17</v>
      </c>
      <c r="D269" s="79" t="s">
        <v>49</v>
      </c>
      <c r="E269" s="79" t="s">
        <v>445</v>
      </c>
      <c r="F269" s="79" t="s">
        <v>24</v>
      </c>
      <c r="G269" s="81">
        <v>11791658.1</v>
      </c>
      <c r="H269" s="81">
        <v>12336930.470000001</v>
      </c>
      <c r="I269" s="81">
        <v>12087905.01</v>
      </c>
      <c r="J269" s="137"/>
      <c r="K269" s="154"/>
      <c r="L269" s="154"/>
      <c r="M269" s="154"/>
      <c r="N269" s="154"/>
      <c r="O269" s="154"/>
      <c r="P269" s="154"/>
      <c r="Q269" s="154"/>
      <c r="R269" s="154"/>
    </row>
    <row r="270" spans="1:18" ht="26.4" x14ac:dyDescent="0.25">
      <c r="A270" s="78" t="s">
        <v>20</v>
      </c>
      <c r="B270" s="79" t="s">
        <v>67</v>
      </c>
      <c r="C270" s="79" t="s">
        <v>17</v>
      </c>
      <c r="D270" s="79" t="s">
        <v>49</v>
      </c>
      <c r="E270" s="79" t="s">
        <v>137</v>
      </c>
      <c r="F270" s="79"/>
      <c r="G270" s="81">
        <f t="shared" ref="G270:I271" si="109">G271</f>
        <v>22424157.510000002</v>
      </c>
      <c r="H270" s="81">
        <f t="shared" si="109"/>
        <v>22916898.68</v>
      </c>
      <c r="I270" s="81">
        <f t="shared" si="109"/>
        <v>23462108.489999998</v>
      </c>
      <c r="J270" s="137"/>
    </row>
    <row r="271" spans="1:18" ht="26.4" x14ac:dyDescent="0.25">
      <c r="A271" s="78" t="s">
        <v>21</v>
      </c>
      <c r="B271" s="79" t="s">
        <v>67</v>
      </c>
      <c r="C271" s="79" t="s">
        <v>17</v>
      </c>
      <c r="D271" s="79" t="s">
        <v>49</v>
      </c>
      <c r="E271" s="79" t="s">
        <v>137</v>
      </c>
      <c r="F271" s="79" t="s">
        <v>22</v>
      </c>
      <c r="G271" s="81">
        <f t="shared" si="109"/>
        <v>22424157.510000002</v>
      </c>
      <c r="H271" s="81">
        <f t="shared" si="109"/>
        <v>22916898.68</v>
      </c>
      <c r="I271" s="81">
        <f t="shared" si="109"/>
        <v>23462108.489999998</v>
      </c>
      <c r="J271" s="137"/>
    </row>
    <row r="272" spans="1:18" x14ac:dyDescent="0.25">
      <c r="A272" s="78" t="s">
        <v>23</v>
      </c>
      <c r="B272" s="79" t="s">
        <v>67</v>
      </c>
      <c r="C272" s="79" t="s">
        <v>17</v>
      </c>
      <c r="D272" s="79" t="s">
        <v>49</v>
      </c>
      <c r="E272" s="79" t="s">
        <v>137</v>
      </c>
      <c r="F272" s="79" t="s">
        <v>24</v>
      </c>
      <c r="G272" s="70">
        <v>22424157.510000002</v>
      </c>
      <c r="H272" s="81">
        <f>23416898.68-500000</f>
        <v>22916898.68</v>
      </c>
      <c r="I272" s="81">
        <f>24462108.49-500000-500000</f>
        <v>23462108.489999998</v>
      </c>
      <c r="J272" s="137"/>
    </row>
    <row r="273" spans="1:18" s="18" customFormat="1" x14ac:dyDescent="0.25">
      <c r="A273" s="78" t="s">
        <v>305</v>
      </c>
      <c r="B273" s="120">
        <v>774</v>
      </c>
      <c r="C273" s="79" t="s">
        <v>17</v>
      </c>
      <c r="D273" s="79" t="s">
        <v>49</v>
      </c>
      <c r="E273" s="79" t="s">
        <v>313</v>
      </c>
      <c r="F273" s="79"/>
      <c r="G273" s="70">
        <f t="shared" ref="G273:I274" si="110">G274</f>
        <v>44980</v>
      </c>
      <c r="H273" s="81">
        <f t="shared" si="110"/>
        <v>47000</v>
      </c>
      <c r="I273" s="81">
        <f t="shared" si="110"/>
        <v>45000</v>
      </c>
      <c r="J273" s="137"/>
      <c r="K273" s="154"/>
      <c r="L273" s="154"/>
      <c r="M273" s="154"/>
      <c r="N273" s="154"/>
      <c r="O273" s="154"/>
      <c r="P273" s="154"/>
      <c r="Q273" s="154"/>
      <c r="R273" s="154"/>
    </row>
    <row r="274" spans="1:18" s="18" customFormat="1" ht="29.25" customHeight="1" x14ac:dyDescent="0.25">
      <c r="A274" s="78" t="s">
        <v>21</v>
      </c>
      <c r="B274" s="120">
        <v>774</v>
      </c>
      <c r="C274" s="79" t="s">
        <v>17</v>
      </c>
      <c r="D274" s="79" t="s">
        <v>49</v>
      </c>
      <c r="E274" s="79" t="s">
        <v>313</v>
      </c>
      <c r="F274" s="79" t="s">
        <v>22</v>
      </c>
      <c r="G274" s="70">
        <f t="shared" si="110"/>
        <v>44980</v>
      </c>
      <c r="H274" s="81">
        <f t="shared" si="110"/>
        <v>47000</v>
      </c>
      <c r="I274" s="81">
        <f t="shared" si="110"/>
        <v>45000</v>
      </c>
      <c r="J274" s="137"/>
      <c r="K274" s="154"/>
      <c r="L274" s="154"/>
      <c r="M274" s="154"/>
      <c r="N274" s="154"/>
      <c r="O274" s="154"/>
      <c r="P274" s="154"/>
      <c r="Q274" s="154"/>
      <c r="R274" s="154"/>
    </row>
    <row r="275" spans="1:18" s="18" customFormat="1" x14ac:dyDescent="0.25">
      <c r="A275" s="78" t="s">
        <v>23</v>
      </c>
      <c r="B275" s="120">
        <v>774</v>
      </c>
      <c r="C275" s="79" t="s">
        <v>17</v>
      </c>
      <c r="D275" s="79" t="s">
        <v>49</v>
      </c>
      <c r="E275" s="79" t="s">
        <v>313</v>
      </c>
      <c r="F275" s="79" t="s">
        <v>24</v>
      </c>
      <c r="G275" s="70">
        <v>44980</v>
      </c>
      <c r="H275" s="81">
        <v>47000</v>
      </c>
      <c r="I275" s="81">
        <v>45000</v>
      </c>
      <c r="J275" s="137"/>
      <c r="K275" s="154"/>
      <c r="L275" s="154"/>
      <c r="M275" s="154"/>
      <c r="N275" s="154"/>
      <c r="O275" s="154"/>
      <c r="P275" s="154"/>
      <c r="Q275" s="154"/>
      <c r="R275" s="154"/>
    </row>
    <row r="276" spans="1:18" ht="39.75" customHeight="1" x14ac:dyDescent="0.25">
      <c r="A276" s="78" t="s">
        <v>277</v>
      </c>
      <c r="B276" s="120">
        <v>774</v>
      </c>
      <c r="C276" s="79" t="s">
        <v>17</v>
      </c>
      <c r="D276" s="79" t="s">
        <v>49</v>
      </c>
      <c r="E276" s="79" t="s">
        <v>279</v>
      </c>
      <c r="F276" s="79"/>
      <c r="G276" s="70">
        <f>G277+G281</f>
        <v>3843710.5299999993</v>
      </c>
      <c r="H276" s="81">
        <f t="shared" ref="H276:I276" si="111">H277+H281</f>
        <v>4015421.9500000007</v>
      </c>
      <c r="I276" s="81">
        <f t="shared" si="111"/>
        <v>4172517.7399999998</v>
      </c>
      <c r="J276" s="137"/>
    </row>
    <row r="277" spans="1:18" ht="34.5" customHeight="1" x14ac:dyDescent="0.25">
      <c r="A277" s="78" t="s">
        <v>21</v>
      </c>
      <c r="B277" s="120">
        <v>774</v>
      </c>
      <c r="C277" s="79" t="s">
        <v>17</v>
      </c>
      <c r="D277" s="79" t="s">
        <v>49</v>
      </c>
      <c r="E277" s="79" t="s">
        <v>279</v>
      </c>
      <c r="F277" s="79" t="s">
        <v>22</v>
      </c>
      <c r="G277" s="70">
        <f>G278+G279+G280</f>
        <v>3735175.9599999995</v>
      </c>
      <c r="H277" s="81">
        <f t="shared" ref="H277:I277" si="112">H278+H279+H280</f>
        <v>3901910.3100000005</v>
      </c>
      <c r="I277" s="81">
        <f t="shared" si="112"/>
        <v>4059643.9899999998</v>
      </c>
      <c r="J277" s="137"/>
    </row>
    <row r="278" spans="1:18" ht="15" customHeight="1" x14ac:dyDescent="0.25">
      <c r="A278" s="78" t="s">
        <v>23</v>
      </c>
      <c r="B278" s="120">
        <v>774</v>
      </c>
      <c r="C278" s="79" t="s">
        <v>17</v>
      </c>
      <c r="D278" s="79" t="s">
        <v>49</v>
      </c>
      <c r="E278" s="79" t="s">
        <v>279</v>
      </c>
      <c r="F278" s="79" t="s">
        <v>24</v>
      </c>
      <c r="G278" s="70">
        <f>3409572.25+108534.57</f>
        <v>3518106.82</v>
      </c>
      <c r="H278" s="81">
        <f>3561375.39+113511.64</f>
        <v>3674887.0300000003</v>
      </c>
      <c r="I278" s="81">
        <f>3721022.92+112873.57</f>
        <v>3833896.4899999998</v>
      </c>
      <c r="J278" s="137"/>
    </row>
    <row r="279" spans="1:18" ht="15" customHeight="1" x14ac:dyDescent="0.25">
      <c r="A279" s="78" t="s">
        <v>276</v>
      </c>
      <c r="B279" s="120">
        <v>774</v>
      </c>
      <c r="C279" s="79" t="s">
        <v>17</v>
      </c>
      <c r="D279" s="79" t="s">
        <v>49</v>
      </c>
      <c r="E279" s="79" t="s">
        <v>279</v>
      </c>
      <c r="F279" s="79" t="s">
        <v>275</v>
      </c>
      <c r="G279" s="70">
        <v>108534.57</v>
      </c>
      <c r="H279" s="81">
        <v>113511.64</v>
      </c>
      <c r="I279" s="81">
        <v>112873.75</v>
      </c>
      <c r="J279" s="137"/>
    </row>
    <row r="280" spans="1:18" ht="36" customHeight="1" x14ac:dyDescent="0.25">
      <c r="A280" s="78" t="s">
        <v>2</v>
      </c>
      <c r="B280" s="120">
        <v>774</v>
      </c>
      <c r="C280" s="79" t="s">
        <v>17</v>
      </c>
      <c r="D280" s="79" t="s">
        <v>49</v>
      </c>
      <c r="E280" s="79" t="s">
        <v>279</v>
      </c>
      <c r="F280" s="79" t="s">
        <v>1</v>
      </c>
      <c r="G280" s="70">
        <v>108534.57</v>
      </c>
      <c r="H280" s="81">
        <v>113511.64</v>
      </c>
      <c r="I280" s="81">
        <v>112873.75</v>
      </c>
      <c r="J280" s="137"/>
    </row>
    <row r="281" spans="1:18" ht="15" customHeight="1" x14ac:dyDescent="0.25">
      <c r="A281" s="78" t="s">
        <v>43</v>
      </c>
      <c r="B281" s="120">
        <v>774</v>
      </c>
      <c r="C281" s="79" t="s">
        <v>17</v>
      </c>
      <c r="D281" s="79" t="s">
        <v>49</v>
      </c>
      <c r="E281" s="79" t="s">
        <v>279</v>
      </c>
      <c r="F281" s="79" t="s">
        <v>44</v>
      </c>
      <c r="G281" s="81">
        <f>G282</f>
        <v>108534.57</v>
      </c>
      <c r="H281" s="81">
        <f t="shared" ref="H281:I281" si="113">H282</f>
        <v>113511.64</v>
      </c>
      <c r="I281" s="81">
        <f t="shared" si="113"/>
        <v>112873.75</v>
      </c>
      <c r="J281" s="137"/>
    </row>
    <row r="282" spans="1:18" ht="51.75" customHeight="1" x14ac:dyDescent="0.25">
      <c r="A282" s="78" t="s">
        <v>245</v>
      </c>
      <c r="B282" s="120">
        <v>774</v>
      </c>
      <c r="C282" s="79" t="s">
        <v>17</v>
      </c>
      <c r="D282" s="79" t="s">
        <v>49</v>
      </c>
      <c r="E282" s="79" t="s">
        <v>279</v>
      </c>
      <c r="F282" s="79" t="s">
        <v>211</v>
      </c>
      <c r="G282" s="70">
        <v>108534.57</v>
      </c>
      <c r="H282" s="81">
        <v>113511.64</v>
      </c>
      <c r="I282" s="81">
        <v>112873.75</v>
      </c>
      <c r="J282" s="137"/>
    </row>
    <row r="283" spans="1:18" ht="35.25" customHeight="1" x14ac:dyDescent="0.25">
      <c r="A283" s="78" t="s">
        <v>393</v>
      </c>
      <c r="B283" s="120">
        <v>774</v>
      </c>
      <c r="C283" s="79" t="s">
        <v>17</v>
      </c>
      <c r="D283" s="79" t="s">
        <v>49</v>
      </c>
      <c r="E283" s="79" t="s">
        <v>134</v>
      </c>
      <c r="F283" s="79"/>
      <c r="G283" s="81">
        <f>G287+G284</f>
        <v>40000</v>
      </c>
      <c r="H283" s="81">
        <f t="shared" ref="H283:I283" si="114">H287+H284</f>
        <v>74646</v>
      </c>
      <c r="I283" s="81">
        <f t="shared" si="114"/>
        <v>50000</v>
      </c>
      <c r="J283" s="137"/>
    </row>
    <row r="284" spans="1:18" s="3" customFormat="1" ht="26.4" x14ac:dyDescent="0.25">
      <c r="A284" s="16" t="s">
        <v>335</v>
      </c>
      <c r="B284" s="14">
        <v>774</v>
      </c>
      <c r="C284" s="15" t="s">
        <v>17</v>
      </c>
      <c r="D284" s="15" t="s">
        <v>49</v>
      </c>
      <c r="E284" s="79" t="s">
        <v>334</v>
      </c>
      <c r="F284" s="15"/>
      <c r="G284" s="70">
        <f t="shared" ref="G284:I285" si="115">G285</f>
        <v>17000</v>
      </c>
      <c r="H284" s="70">
        <f t="shared" si="115"/>
        <v>50000</v>
      </c>
      <c r="I284" s="70">
        <f t="shared" si="115"/>
        <v>50000</v>
      </c>
      <c r="J284" s="137"/>
      <c r="K284" s="153"/>
      <c r="L284" s="153"/>
      <c r="M284" s="153"/>
      <c r="N284" s="153"/>
      <c r="O284" s="153"/>
      <c r="P284" s="153"/>
      <c r="Q284" s="153"/>
      <c r="R284" s="153"/>
    </row>
    <row r="285" spans="1:18" s="3" customFormat="1" ht="26.4" x14ac:dyDescent="0.25">
      <c r="A285" s="16" t="s">
        <v>21</v>
      </c>
      <c r="B285" s="14">
        <v>774</v>
      </c>
      <c r="C285" s="15" t="s">
        <v>17</v>
      </c>
      <c r="D285" s="15" t="s">
        <v>49</v>
      </c>
      <c r="E285" s="79" t="s">
        <v>334</v>
      </c>
      <c r="F285" s="15" t="s">
        <v>22</v>
      </c>
      <c r="G285" s="70">
        <f t="shared" si="115"/>
        <v>17000</v>
      </c>
      <c r="H285" s="70">
        <f t="shared" si="115"/>
        <v>50000</v>
      </c>
      <c r="I285" s="70">
        <f t="shared" si="115"/>
        <v>50000</v>
      </c>
      <c r="J285" s="137"/>
      <c r="K285" s="153"/>
      <c r="L285" s="153"/>
      <c r="M285" s="153"/>
      <c r="N285" s="153"/>
      <c r="O285" s="153"/>
      <c r="P285" s="153"/>
      <c r="Q285" s="153"/>
      <c r="R285" s="153"/>
    </row>
    <row r="286" spans="1:18" s="3" customFormat="1" x14ac:dyDescent="0.25">
      <c r="A286" s="78" t="s">
        <v>23</v>
      </c>
      <c r="B286" s="14">
        <v>774</v>
      </c>
      <c r="C286" s="15" t="s">
        <v>17</v>
      </c>
      <c r="D286" s="15" t="s">
        <v>49</v>
      </c>
      <c r="E286" s="79" t="s">
        <v>334</v>
      </c>
      <c r="F286" s="15" t="s">
        <v>24</v>
      </c>
      <c r="G286" s="70">
        <v>17000</v>
      </c>
      <c r="H286" s="70">
        <v>50000</v>
      </c>
      <c r="I286" s="70">
        <v>50000</v>
      </c>
      <c r="J286" s="137"/>
      <c r="K286" s="153"/>
      <c r="L286" s="153"/>
      <c r="M286" s="153"/>
      <c r="N286" s="153"/>
      <c r="O286" s="153"/>
      <c r="P286" s="153"/>
      <c r="Q286" s="153"/>
      <c r="R286" s="153"/>
    </row>
    <row r="287" spans="1:18" s="3" customFormat="1" ht="26.4" x14ac:dyDescent="0.25">
      <c r="A287" s="78" t="s">
        <v>186</v>
      </c>
      <c r="B287" s="120">
        <v>774</v>
      </c>
      <c r="C287" s="79" t="s">
        <v>17</v>
      </c>
      <c r="D287" s="79" t="s">
        <v>49</v>
      </c>
      <c r="E287" s="79" t="s">
        <v>185</v>
      </c>
      <c r="F287" s="79"/>
      <c r="G287" s="81">
        <f t="shared" ref="G287:I288" si="116">G288</f>
        <v>23000</v>
      </c>
      <c r="H287" s="81">
        <f t="shared" si="116"/>
        <v>24646</v>
      </c>
      <c r="I287" s="81">
        <f t="shared" si="116"/>
        <v>0</v>
      </c>
      <c r="J287" s="137"/>
      <c r="K287" s="153"/>
      <c r="L287" s="153"/>
      <c r="M287" s="153"/>
      <c r="N287" s="153"/>
      <c r="O287" s="153"/>
      <c r="P287" s="153"/>
      <c r="Q287" s="153"/>
      <c r="R287" s="153"/>
    </row>
    <row r="288" spans="1:18" s="3" customFormat="1" ht="26.4" x14ac:dyDescent="0.25">
      <c r="A288" s="78" t="s">
        <v>21</v>
      </c>
      <c r="B288" s="120">
        <v>774</v>
      </c>
      <c r="C288" s="79" t="s">
        <v>17</v>
      </c>
      <c r="D288" s="79" t="s">
        <v>49</v>
      </c>
      <c r="E288" s="79" t="s">
        <v>185</v>
      </c>
      <c r="F288" s="79" t="s">
        <v>22</v>
      </c>
      <c r="G288" s="81">
        <f t="shared" si="116"/>
        <v>23000</v>
      </c>
      <c r="H288" s="81">
        <f t="shared" si="116"/>
        <v>24646</v>
      </c>
      <c r="I288" s="81">
        <f t="shared" si="116"/>
        <v>0</v>
      </c>
      <c r="J288" s="137"/>
      <c r="K288" s="153"/>
      <c r="L288" s="153"/>
      <c r="M288" s="153"/>
      <c r="N288" s="153"/>
      <c r="O288" s="153"/>
      <c r="P288" s="153"/>
      <c r="Q288" s="153"/>
      <c r="R288" s="153"/>
    </row>
    <row r="289" spans="1:18" s="3" customFormat="1" x14ac:dyDescent="0.25">
      <c r="A289" s="78" t="s">
        <v>23</v>
      </c>
      <c r="B289" s="120">
        <v>774</v>
      </c>
      <c r="C289" s="79" t="s">
        <v>17</v>
      </c>
      <c r="D289" s="79" t="s">
        <v>49</v>
      </c>
      <c r="E289" s="79" t="s">
        <v>185</v>
      </c>
      <c r="F289" s="79" t="s">
        <v>24</v>
      </c>
      <c r="G289" s="81">
        <v>23000</v>
      </c>
      <c r="H289" s="81">
        <v>24646</v>
      </c>
      <c r="I289" s="81"/>
      <c r="J289" s="137"/>
      <c r="K289" s="153"/>
      <c r="L289" s="153"/>
      <c r="M289" s="153"/>
      <c r="N289" s="153"/>
      <c r="O289" s="153"/>
      <c r="P289" s="153"/>
      <c r="Q289" s="153"/>
      <c r="R289" s="153"/>
    </row>
    <row r="290" spans="1:18" ht="26.4" x14ac:dyDescent="0.25">
      <c r="A290" s="78" t="s">
        <v>15</v>
      </c>
      <c r="B290" s="79" t="s">
        <v>67</v>
      </c>
      <c r="C290" s="79" t="s">
        <v>17</v>
      </c>
      <c r="D290" s="79" t="s">
        <v>49</v>
      </c>
      <c r="E290" s="79" t="s">
        <v>138</v>
      </c>
      <c r="F290" s="79"/>
      <c r="G290" s="81">
        <f t="shared" ref="G290:I292" si="117">G291</f>
        <v>556132.55000000005</v>
      </c>
      <c r="H290" s="81">
        <f t="shared" si="117"/>
        <v>973576.4</v>
      </c>
      <c r="I290" s="81">
        <f t="shared" si="117"/>
        <v>973576.4</v>
      </c>
      <c r="J290" s="137"/>
    </row>
    <row r="291" spans="1:18" ht="49.5" customHeight="1" x14ac:dyDescent="0.25">
      <c r="A291" s="78" t="s">
        <v>550</v>
      </c>
      <c r="B291" s="79" t="s">
        <v>67</v>
      </c>
      <c r="C291" s="79" t="s">
        <v>17</v>
      </c>
      <c r="D291" s="79" t="s">
        <v>49</v>
      </c>
      <c r="E291" s="79" t="s">
        <v>139</v>
      </c>
      <c r="F291" s="79"/>
      <c r="G291" s="81">
        <f t="shared" si="117"/>
        <v>556132.55000000005</v>
      </c>
      <c r="H291" s="81">
        <f t="shared" si="117"/>
        <v>973576.4</v>
      </c>
      <c r="I291" s="81">
        <f t="shared" si="117"/>
        <v>973576.4</v>
      </c>
      <c r="J291" s="137"/>
    </row>
    <row r="292" spans="1:18" ht="36" customHeight="1" x14ac:dyDescent="0.25">
      <c r="A292" s="78" t="s">
        <v>21</v>
      </c>
      <c r="B292" s="79" t="s">
        <v>67</v>
      </c>
      <c r="C292" s="79" t="s">
        <v>17</v>
      </c>
      <c r="D292" s="79" t="s">
        <v>49</v>
      </c>
      <c r="E292" s="79" t="s">
        <v>139</v>
      </c>
      <c r="F292" s="79" t="s">
        <v>22</v>
      </c>
      <c r="G292" s="81">
        <f t="shared" si="117"/>
        <v>556132.55000000005</v>
      </c>
      <c r="H292" s="81">
        <f t="shared" si="117"/>
        <v>973576.4</v>
      </c>
      <c r="I292" s="81">
        <f t="shared" si="117"/>
        <v>973576.4</v>
      </c>
      <c r="J292" s="137"/>
    </row>
    <row r="293" spans="1:18" x14ac:dyDescent="0.25">
      <c r="A293" s="78" t="s">
        <v>23</v>
      </c>
      <c r="B293" s="79" t="s">
        <v>67</v>
      </c>
      <c r="C293" s="79" t="s">
        <v>17</v>
      </c>
      <c r="D293" s="79" t="s">
        <v>49</v>
      </c>
      <c r="E293" s="79" t="s">
        <v>139</v>
      </c>
      <c r="F293" s="79" t="s">
        <v>24</v>
      </c>
      <c r="G293" s="81">
        <f>440000+116132.55</f>
        <v>556132.55000000005</v>
      </c>
      <c r="H293" s="81">
        <f>700000+273576.4</f>
        <v>973576.4</v>
      </c>
      <c r="I293" s="81">
        <f>700000+273576.4</f>
        <v>973576.4</v>
      </c>
      <c r="J293" s="137"/>
    </row>
    <row r="294" spans="1:18" x14ac:dyDescent="0.25">
      <c r="A294" s="78" t="s">
        <v>180</v>
      </c>
      <c r="B294" s="79" t="s">
        <v>67</v>
      </c>
      <c r="C294" s="79" t="s">
        <v>17</v>
      </c>
      <c r="D294" s="79" t="s">
        <v>17</v>
      </c>
      <c r="E294" s="79"/>
      <c r="F294" s="79"/>
      <c r="G294" s="81">
        <f>G295</f>
        <v>9698616.1999999993</v>
      </c>
      <c r="H294" s="81">
        <f t="shared" ref="H294:I294" si="118">H295</f>
        <v>10760860.469999999</v>
      </c>
      <c r="I294" s="81">
        <f t="shared" si="118"/>
        <v>10958644.539999999</v>
      </c>
      <c r="J294" s="137"/>
      <c r="N294" s="160"/>
    </row>
    <row r="295" spans="1:18" s="28" customFormat="1" ht="44.25" customHeight="1" x14ac:dyDescent="0.25">
      <c r="A295" s="16" t="s">
        <v>362</v>
      </c>
      <c r="B295" s="79" t="s">
        <v>67</v>
      </c>
      <c r="C295" s="79" t="s">
        <v>17</v>
      </c>
      <c r="D295" s="79" t="s">
        <v>17</v>
      </c>
      <c r="E295" s="79" t="s">
        <v>108</v>
      </c>
      <c r="F295" s="133"/>
      <c r="G295" s="81">
        <f>G302+G296</f>
        <v>9698616.1999999993</v>
      </c>
      <c r="H295" s="81">
        <f>H302+H296</f>
        <v>10760860.469999999</v>
      </c>
      <c r="I295" s="81">
        <f>I302+I296</f>
        <v>10958644.539999999</v>
      </c>
      <c r="J295" s="137"/>
      <c r="K295" s="156"/>
      <c r="L295" s="156"/>
      <c r="M295" s="156"/>
      <c r="N295" s="156"/>
      <c r="O295" s="156"/>
      <c r="P295" s="156"/>
      <c r="Q295" s="156"/>
      <c r="R295" s="156"/>
    </row>
    <row r="296" spans="1:18" s="28" customFormat="1" ht="44.25" customHeight="1" x14ac:dyDescent="0.25">
      <c r="A296" s="78" t="s">
        <v>386</v>
      </c>
      <c r="B296" s="79" t="s">
        <v>67</v>
      </c>
      <c r="C296" s="79" t="s">
        <v>17</v>
      </c>
      <c r="D296" s="79" t="s">
        <v>17</v>
      </c>
      <c r="E296" s="79" t="s">
        <v>132</v>
      </c>
      <c r="F296" s="133"/>
      <c r="G296" s="81">
        <f>G297</f>
        <v>4443457.79</v>
      </c>
      <c r="H296" s="81">
        <f t="shared" ref="H296:I296" si="119">H297</f>
        <v>5315495.72</v>
      </c>
      <c r="I296" s="81">
        <f t="shared" si="119"/>
        <v>5315495.72</v>
      </c>
      <c r="J296" s="137"/>
      <c r="K296" s="156"/>
      <c r="L296" s="156"/>
      <c r="M296" s="156"/>
      <c r="N296" s="156"/>
      <c r="O296" s="156"/>
      <c r="P296" s="156"/>
      <c r="Q296" s="156"/>
      <c r="R296" s="156"/>
    </row>
    <row r="297" spans="1:18" s="28" customFormat="1" ht="16.5" customHeight="1" x14ac:dyDescent="0.25">
      <c r="A297" s="272" t="s">
        <v>515</v>
      </c>
      <c r="B297" s="79" t="s">
        <v>67</v>
      </c>
      <c r="C297" s="79" t="s">
        <v>17</v>
      </c>
      <c r="D297" s="79" t="s">
        <v>17</v>
      </c>
      <c r="E297" s="79" t="s">
        <v>514</v>
      </c>
      <c r="F297" s="133"/>
      <c r="G297" s="81">
        <f>G298</f>
        <v>4443457.79</v>
      </c>
      <c r="H297" s="81">
        <f t="shared" ref="H297:I297" si="120">H298</f>
        <v>5315495.72</v>
      </c>
      <c r="I297" s="81">
        <f t="shared" si="120"/>
        <v>5315495.72</v>
      </c>
      <c r="J297" s="137"/>
      <c r="K297" s="156"/>
      <c r="L297" s="156"/>
      <c r="M297" s="156"/>
      <c r="N297" s="156"/>
      <c r="O297" s="156"/>
      <c r="P297" s="156"/>
      <c r="Q297" s="156"/>
      <c r="R297" s="156"/>
    </row>
    <row r="298" spans="1:18" s="18" customFormat="1" x14ac:dyDescent="0.25">
      <c r="A298" s="272" t="s">
        <v>488</v>
      </c>
      <c r="B298" s="79" t="s">
        <v>67</v>
      </c>
      <c r="C298" s="79" t="s">
        <v>17</v>
      </c>
      <c r="D298" s="79" t="s">
        <v>17</v>
      </c>
      <c r="E298" s="79" t="s">
        <v>489</v>
      </c>
      <c r="F298" s="79"/>
      <c r="G298" s="81">
        <f>G299</f>
        <v>4443457.79</v>
      </c>
      <c r="H298" s="81">
        <f t="shared" ref="H298:I298" si="121">H299</f>
        <v>5315495.72</v>
      </c>
      <c r="I298" s="81">
        <f t="shared" si="121"/>
        <v>5315495.72</v>
      </c>
      <c r="J298" s="137"/>
      <c r="K298" s="154"/>
      <c r="L298" s="154"/>
      <c r="M298" s="154"/>
      <c r="N298" s="154"/>
      <c r="O298" s="154"/>
      <c r="P298" s="154"/>
      <c r="Q298" s="154"/>
      <c r="R298" s="154"/>
    </row>
    <row r="299" spans="1:18" ht="86.25" customHeight="1" x14ac:dyDescent="0.25">
      <c r="A299" s="206" t="s">
        <v>491</v>
      </c>
      <c r="B299" s="15" t="s">
        <v>67</v>
      </c>
      <c r="C299" s="15" t="s">
        <v>17</v>
      </c>
      <c r="D299" s="15" t="s">
        <v>17</v>
      </c>
      <c r="E299" s="15" t="s">
        <v>490</v>
      </c>
      <c r="F299" s="15"/>
      <c r="G299" s="70">
        <f t="shared" ref="G299:I300" si="122">G300</f>
        <v>4443457.79</v>
      </c>
      <c r="H299" s="70">
        <f t="shared" si="122"/>
        <v>5315495.72</v>
      </c>
      <c r="I299" s="70">
        <f t="shared" si="122"/>
        <v>5315495.72</v>
      </c>
      <c r="J299" s="136"/>
      <c r="K299" s="136"/>
      <c r="L299" s="136"/>
      <c r="M299" s="69"/>
      <c r="N299" s="69"/>
      <c r="O299" s="69"/>
      <c r="P299" s="69"/>
      <c r="Q299" s="180"/>
      <c r="R299" s="69"/>
    </row>
    <row r="300" spans="1:18" s="18" customFormat="1" ht="26.4" x14ac:dyDescent="0.25">
      <c r="A300" s="78" t="s">
        <v>21</v>
      </c>
      <c r="B300" s="79" t="s">
        <v>67</v>
      </c>
      <c r="C300" s="79" t="s">
        <v>17</v>
      </c>
      <c r="D300" s="79" t="s">
        <v>17</v>
      </c>
      <c r="E300" s="79" t="s">
        <v>490</v>
      </c>
      <c r="F300" s="79" t="s">
        <v>22</v>
      </c>
      <c r="G300" s="81">
        <f t="shared" si="122"/>
        <v>4443457.79</v>
      </c>
      <c r="H300" s="81">
        <f t="shared" si="122"/>
        <v>5315495.72</v>
      </c>
      <c r="I300" s="81">
        <f t="shared" si="122"/>
        <v>5315495.72</v>
      </c>
      <c r="J300" s="137"/>
      <c r="K300" s="154"/>
      <c r="L300" s="154"/>
      <c r="M300" s="164"/>
      <c r="N300" s="164"/>
      <c r="O300" s="154"/>
      <c r="P300" s="154"/>
      <c r="Q300" s="164"/>
      <c r="R300" s="154"/>
    </row>
    <row r="301" spans="1:18" s="18" customFormat="1" x14ac:dyDescent="0.25">
      <c r="A301" s="78" t="s">
        <v>23</v>
      </c>
      <c r="B301" s="79" t="s">
        <v>67</v>
      </c>
      <c r="C301" s="79" t="s">
        <v>17</v>
      </c>
      <c r="D301" s="79" t="s">
        <v>17</v>
      </c>
      <c r="E301" s="79" t="s">
        <v>490</v>
      </c>
      <c r="F301" s="79" t="s">
        <v>24</v>
      </c>
      <c r="G301" s="70">
        <v>4443457.79</v>
      </c>
      <c r="H301" s="81">
        <v>5315495.72</v>
      </c>
      <c r="I301" s="81">
        <v>5315495.72</v>
      </c>
      <c r="J301" s="137"/>
      <c r="K301" s="154"/>
      <c r="L301" s="154"/>
      <c r="M301" s="154"/>
      <c r="N301" s="154"/>
      <c r="O301" s="154"/>
      <c r="P301" s="154"/>
      <c r="Q301" s="154"/>
      <c r="R301" s="154"/>
    </row>
    <row r="302" spans="1:18" s="18" customFormat="1" ht="21.75" customHeight="1" x14ac:dyDescent="0.25">
      <c r="A302" s="111" t="s">
        <v>76</v>
      </c>
      <c r="B302" s="79" t="s">
        <v>67</v>
      </c>
      <c r="C302" s="79" t="s">
        <v>17</v>
      </c>
      <c r="D302" s="79" t="s">
        <v>17</v>
      </c>
      <c r="E302" s="79" t="s">
        <v>109</v>
      </c>
      <c r="F302" s="79"/>
      <c r="G302" s="81">
        <f>G303+G306</f>
        <v>5255158.41</v>
      </c>
      <c r="H302" s="81">
        <f t="shared" ref="H302:I302" si="123">H303+H306</f>
        <v>5445364.75</v>
      </c>
      <c r="I302" s="81">
        <f t="shared" si="123"/>
        <v>5643148.8200000003</v>
      </c>
      <c r="J302" s="137"/>
      <c r="K302" s="154"/>
      <c r="L302" s="154"/>
      <c r="M302" s="154"/>
      <c r="N302" s="164"/>
      <c r="O302" s="154"/>
      <c r="P302" s="154"/>
      <c r="Q302" s="154"/>
      <c r="R302" s="154"/>
    </row>
    <row r="303" spans="1:18" s="18" customFormat="1" ht="87.75" customHeight="1" x14ac:dyDescent="0.25">
      <c r="A303" s="206" t="s">
        <v>496</v>
      </c>
      <c r="B303" s="15" t="s">
        <v>67</v>
      </c>
      <c r="C303" s="15" t="s">
        <v>17</v>
      </c>
      <c r="D303" s="15" t="s">
        <v>17</v>
      </c>
      <c r="E303" s="15" t="s">
        <v>429</v>
      </c>
      <c r="F303" s="15"/>
      <c r="G303" s="70">
        <f>G304</f>
        <v>4755158.41</v>
      </c>
      <c r="H303" s="70">
        <f t="shared" ref="H303:I303" si="124">H304</f>
        <v>4945364.75</v>
      </c>
      <c r="I303" s="70">
        <f t="shared" si="124"/>
        <v>5143148.82</v>
      </c>
      <c r="J303" s="136"/>
      <c r="K303" s="141"/>
      <c r="L303" s="141"/>
      <c r="M303" s="141"/>
      <c r="N303" s="141"/>
      <c r="O303" s="141"/>
      <c r="P303" s="141"/>
      <c r="Q303" s="141"/>
      <c r="R303" s="141"/>
    </row>
    <row r="304" spans="1:18" s="18" customFormat="1" ht="26.4" x14ac:dyDescent="0.25">
      <c r="A304" s="78" t="s">
        <v>21</v>
      </c>
      <c r="B304" s="79" t="s">
        <v>67</v>
      </c>
      <c r="C304" s="79" t="s">
        <v>17</v>
      </c>
      <c r="D304" s="79" t="s">
        <v>17</v>
      </c>
      <c r="E304" s="79" t="s">
        <v>429</v>
      </c>
      <c r="F304" s="79" t="s">
        <v>22</v>
      </c>
      <c r="G304" s="81">
        <f>G305</f>
        <v>4755158.41</v>
      </c>
      <c r="H304" s="81">
        <f>H305</f>
        <v>4945364.75</v>
      </c>
      <c r="I304" s="81">
        <f>I305</f>
        <v>5143148.82</v>
      </c>
      <c r="J304" s="137"/>
      <c r="K304" s="154"/>
      <c r="L304" s="154"/>
      <c r="M304" s="154"/>
      <c r="N304" s="154"/>
      <c r="O304" s="154"/>
      <c r="P304" s="154"/>
      <c r="Q304" s="154"/>
      <c r="R304" s="154"/>
    </row>
    <row r="305" spans="1:18" s="18" customFormat="1" ht="13.5" customHeight="1" x14ac:dyDescent="0.25">
      <c r="A305" s="78" t="s">
        <v>23</v>
      </c>
      <c r="B305" s="79" t="s">
        <v>67</v>
      </c>
      <c r="C305" s="79" t="s">
        <v>17</v>
      </c>
      <c r="D305" s="79" t="s">
        <v>17</v>
      </c>
      <c r="E305" s="79" t="s">
        <v>429</v>
      </c>
      <c r="F305" s="79" t="s">
        <v>24</v>
      </c>
      <c r="G305" s="81">
        <v>4755158.41</v>
      </c>
      <c r="H305" s="81">
        <v>4945364.75</v>
      </c>
      <c r="I305" s="81">
        <v>5143148.82</v>
      </c>
      <c r="J305" s="137"/>
      <c r="K305" s="154"/>
      <c r="L305" s="154"/>
      <c r="M305" s="154"/>
      <c r="N305" s="154"/>
      <c r="O305" s="154"/>
      <c r="P305" s="154"/>
      <c r="Q305" s="154"/>
      <c r="R305" s="154"/>
    </row>
    <row r="306" spans="1:18" s="18" customFormat="1" ht="61.5" customHeight="1" x14ac:dyDescent="0.25">
      <c r="A306" s="111" t="s">
        <v>218</v>
      </c>
      <c r="B306" s="79" t="s">
        <v>67</v>
      </c>
      <c r="C306" s="79" t="s">
        <v>17</v>
      </c>
      <c r="D306" s="79" t="s">
        <v>17</v>
      </c>
      <c r="E306" s="79" t="s">
        <v>110</v>
      </c>
      <c r="F306" s="79"/>
      <c r="G306" s="81">
        <f>G307</f>
        <v>500000</v>
      </c>
      <c r="H306" s="81">
        <f t="shared" ref="H306:I306" si="125">H307</f>
        <v>500000</v>
      </c>
      <c r="I306" s="81">
        <f t="shared" si="125"/>
        <v>500000</v>
      </c>
      <c r="J306" s="137"/>
      <c r="K306" s="154"/>
      <c r="L306" s="154"/>
      <c r="M306" s="154"/>
      <c r="N306" s="154"/>
      <c r="O306" s="154"/>
      <c r="P306" s="154"/>
      <c r="Q306" s="154"/>
      <c r="R306" s="154"/>
    </row>
    <row r="307" spans="1:18" s="18" customFormat="1" ht="26.4" x14ac:dyDescent="0.25">
      <c r="A307" s="78" t="s">
        <v>21</v>
      </c>
      <c r="B307" s="79" t="s">
        <v>67</v>
      </c>
      <c r="C307" s="79" t="s">
        <v>17</v>
      </c>
      <c r="D307" s="79" t="s">
        <v>17</v>
      </c>
      <c r="E307" s="79" t="s">
        <v>110</v>
      </c>
      <c r="F307" s="79" t="s">
        <v>22</v>
      </c>
      <c r="G307" s="81">
        <f>G308</f>
        <v>500000</v>
      </c>
      <c r="H307" s="81">
        <f>H308</f>
        <v>500000</v>
      </c>
      <c r="I307" s="81">
        <f>I308</f>
        <v>500000</v>
      </c>
      <c r="J307" s="137"/>
      <c r="K307" s="154"/>
      <c r="L307" s="154"/>
      <c r="M307" s="154"/>
      <c r="N307" s="154"/>
      <c r="O307" s="154"/>
      <c r="P307" s="154"/>
      <c r="Q307" s="154"/>
      <c r="R307" s="154"/>
    </row>
    <row r="308" spans="1:18" s="18" customFormat="1" x14ac:dyDescent="0.25">
      <c r="A308" s="78" t="s">
        <v>23</v>
      </c>
      <c r="B308" s="79" t="s">
        <v>67</v>
      </c>
      <c r="C308" s="79" t="s">
        <v>17</v>
      </c>
      <c r="D308" s="79" t="s">
        <v>17</v>
      </c>
      <c r="E308" s="79" t="s">
        <v>110</v>
      </c>
      <c r="F308" s="79" t="s">
        <v>24</v>
      </c>
      <c r="G308" s="70">
        <v>500000</v>
      </c>
      <c r="H308" s="81">
        <v>500000</v>
      </c>
      <c r="I308" s="81">
        <v>500000</v>
      </c>
      <c r="J308" s="137"/>
      <c r="K308" s="154"/>
      <c r="L308" s="154"/>
      <c r="M308" s="154"/>
      <c r="N308" s="154"/>
      <c r="O308" s="154"/>
      <c r="P308" s="154"/>
      <c r="Q308" s="154"/>
      <c r="R308" s="154"/>
    </row>
    <row r="309" spans="1:18" x14ac:dyDescent="0.25">
      <c r="A309" s="78" t="s">
        <v>78</v>
      </c>
      <c r="B309" s="79" t="s">
        <v>67</v>
      </c>
      <c r="C309" s="79" t="s">
        <v>17</v>
      </c>
      <c r="D309" s="79" t="s">
        <v>79</v>
      </c>
      <c r="E309" s="79"/>
      <c r="F309" s="79"/>
      <c r="G309" s="81">
        <f>G310</f>
        <v>20184343.84</v>
      </c>
      <c r="H309" s="81">
        <f t="shared" ref="H309:I309" si="126">H310</f>
        <v>20969229.129999999</v>
      </c>
      <c r="I309" s="81">
        <f t="shared" si="126"/>
        <v>21825060.049999997</v>
      </c>
      <c r="J309" s="137"/>
    </row>
    <row r="310" spans="1:18" ht="33.75" customHeight="1" x14ac:dyDescent="0.25">
      <c r="A310" s="16" t="s">
        <v>362</v>
      </c>
      <c r="B310" s="79" t="s">
        <v>67</v>
      </c>
      <c r="C310" s="79" t="s">
        <v>17</v>
      </c>
      <c r="D310" s="79" t="s">
        <v>79</v>
      </c>
      <c r="E310" s="79" t="s">
        <v>108</v>
      </c>
      <c r="F310" s="79"/>
      <c r="G310" s="81">
        <f>G311+G318</f>
        <v>20184343.84</v>
      </c>
      <c r="H310" s="81">
        <f t="shared" ref="H310:I310" si="127">H311+H318</f>
        <v>20969229.129999999</v>
      </c>
      <c r="I310" s="81">
        <f t="shared" si="127"/>
        <v>21825060.049999997</v>
      </c>
      <c r="J310" s="137"/>
    </row>
    <row r="311" spans="1:18" s="18" customFormat="1" ht="45.75" customHeight="1" x14ac:dyDescent="0.25">
      <c r="A311" s="78" t="s">
        <v>386</v>
      </c>
      <c r="B311" s="79" t="s">
        <v>67</v>
      </c>
      <c r="C311" s="79" t="s">
        <v>17</v>
      </c>
      <c r="D311" s="79" t="s">
        <v>79</v>
      </c>
      <c r="E311" s="79" t="s">
        <v>132</v>
      </c>
      <c r="F311" s="79"/>
      <c r="G311" s="81">
        <f>G312+G315</f>
        <v>120689.2</v>
      </c>
      <c r="H311" s="81">
        <f t="shared" ref="H311:I311" si="128">H312+H315</f>
        <v>182069.01</v>
      </c>
      <c r="I311" s="81">
        <f t="shared" si="128"/>
        <v>244138.02000000002</v>
      </c>
      <c r="J311" s="137"/>
      <c r="K311" s="154"/>
      <c r="L311" s="154"/>
      <c r="M311" s="154"/>
      <c r="N311" s="154"/>
      <c r="O311" s="154"/>
      <c r="P311" s="154"/>
      <c r="Q311" s="154"/>
      <c r="R311" s="154"/>
    </row>
    <row r="312" spans="1:18" ht="33" customHeight="1" x14ac:dyDescent="0.25">
      <c r="A312" s="78" t="s">
        <v>331</v>
      </c>
      <c r="B312" s="79" t="s">
        <v>67</v>
      </c>
      <c r="C312" s="79" t="s">
        <v>17</v>
      </c>
      <c r="D312" s="79" t="s">
        <v>79</v>
      </c>
      <c r="E312" s="79" t="s">
        <v>327</v>
      </c>
      <c r="F312" s="79"/>
      <c r="G312" s="81">
        <f>G313</f>
        <v>100000</v>
      </c>
      <c r="H312" s="81">
        <f t="shared" ref="H312:I313" si="129">H313</f>
        <v>120000</v>
      </c>
      <c r="I312" s="81">
        <f t="shared" si="129"/>
        <v>120000</v>
      </c>
      <c r="J312" s="137"/>
    </row>
    <row r="313" spans="1:18" ht="24.75" customHeight="1" x14ac:dyDescent="0.25">
      <c r="A313" s="78" t="s">
        <v>25</v>
      </c>
      <c r="B313" s="79" t="s">
        <v>67</v>
      </c>
      <c r="C313" s="79" t="s">
        <v>17</v>
      </c>
      <c r="D313" s="79" t="s">
        <v>79</v>
      </c>
      <c r="E313" s="79" t="s">
        <v>327</v>
      </c>
      <c r="F313" s="79" t="s">
        <v>26</v>
      </c>
      <c r="G313" s="81">
        <f>G314</f>
        <v>100000</v>
      </c>
      <c r="H313" s="81">
        <f t="shared" si="129"/>
        <v>120000</v>
      </c>
      <c r="I313" s="81">
        <f t="shared" si="129"/>
        <v>120000</v>
      </c>
      <c r="J313" s="137"/>
    </row>
    <row r="314" spans="1:18" ht="36.75" customHeight="1" x14ac:dyDescent="0.25">
      <c r="A314" s="78" t="s">
        <v>27</v>
      </c>
      <c r="B314" s="79" t="s">
        <v>67</v>
      </c>
      <c r="C314" s="79" t="s">
        <v>17</v>
      </c>
      <c r="D314" s="79" t="s">
        <v>79</v>
      </c>
      <c r="E314" s="79" t="s">
        <v>327</v>
      </c>
      <c r="F314" s="79" t="s">
        <v>28</v>
      </c>
      <c r="G314" s="70">
        <v>100000</v>
      </c>
      <c r="H314" s="81">
        <v>120000</v>
      </c>
      <c r="I314" s="81">
        <v>120000</v>
      </c>
      <c r="J314" s="137"/>
    </row>
    <row r="315" spans="1:18" s="18" customFormat="1" ht="39.6" x14ac:dyDescent="0.25">
      <c r="A315" s="195" t="s">
        <v>317</v>
      </c>
      <c r="B315" s="79" t="s">
        <v>67</v>
      </c>
      <c r="C315" s="79" t="s">
        <v>17</v>
      </c>
      <c r="D315" s="79" t="s">
        <v>79</v>
      </c>
      <c r="E315" s="79" t="s">
        <v>316</v>
      </c>
      <c r="F315" s="79"/>
      <c r="G315" s="70">
        <f t="shared" ref="G315:I316" si="130">G316</f>
        <v>20689.2</v>
      </c>
      <c r="H315" s="81">
        <f t="shared" si="130"/>
        <v>62069.01</v>
      </c>
      <c r="I315" s="81">
        <f t="shared" si="130"/>
        <v>124138.02</v>
      </c>
      <c r="J315" s="137"/>
      <c r="K315" s="154"/>
      <c r="L315" s="154"/>
      <c r="M315" s="154"/>
      <c r="N315" s="154"/>
      <c r="O315" s="154"/>
      <c r="P315" s="154"/>
      <c r="Q315" s="154"/>
      <c r="R315" s="154"/>
    </row>
    <row r="316" spans="1:18" s="18" customFormat="1" x14ac:dyDescent="0.25">
      <c r="A316" s="78" t="s">
        <v>86</v>
      </c>
      <c r="B316" s="79" t="s">
        <v>67</v>
      </c>
      <c r="C316" s="79" t="s">
        <v>17</v>
      </c>
      <c r="D316" s="79" t="s">
        <v>79</v>
      </c>
      <c r="E316" s="79" t="s">
        <v>316</v>
      </c>
      <c r="F316" s="79" t="s">
        <v>87</v>
      </c>
      <c r="G316" s="70">
        <f t="shared" si="130"/>
        <v>20689.2</v>
      </c>
      <c r="H316" s="81">
        <f t="shared" si="130"/>
        <v>62069.01</v>
      </c>
      <c r="I316" s="81">
        <f t="shared" si="130"/>
        <v>124138.02</v>
      </c>
      <c r="J316" s="137"/>
      <c r="K316" s="154"/>
      <c r="L316" s="154"/>
      <c r="M316" s="154"/>
      <c r="N316" s="154"/>
      <c r="O316" s="154"/>
      <c r="P316" s="154"/>
      <c r="Q316" s="154"/>
      <c r="R316" s="154"/>
    </row>
    <row r="317" spans="1:18" s="18" customFormat="1" x14ac:dyDescent="0.25">
      <c r="A317" s="78" t="s">
        <v>347</v>
      </c>
      <c r="B317" s="79" t="s">
        <v>67</v>
      </c>
      <c r="C317" s="79" t="s">
        <v>17</v>
      </c>
      <c r="D317" s="79" t="s">
        <v>79</v>
      </c>
      <c r="E317" s="79" t="s">
        <v>316</v>
      </c>
      <c r="F317" s="79" t="s">
        <v>346</v>
      </c>
      <c r="G317" s="70">
        <v>20689.2</v>
      </c>
      <c r="H317" s="81">
        <v>62069.01</v>
      </c>
      <c r="I317" s="81">
        <v>124138.02</v>
      </c>
      <c r="J317" s="137"/>
      <c r="K317" s="154"/>
      <c r="L317" s="154"/>
      <c r="M317" s="154"/>
      <c r="N317" s="154"/>
      <c r="O317" s="154"/>
      <c r="P317" s="154"/>
      <c r="Q317" s="154"/>
      <c r="R317" s="154"/>
    </row>
    <row r="318" spans="1:18" s="18" customFormat="1" ht="32.25" customHeight="1" x14ac:dyDescent="0.25">
      <c r="A318" s="78" t="s">
        <v>556</v>
      </c>
      <c r="B318" s="79" t="s">
        <v>67</v>
      </c>
      <c r="C318" s="79" t="s">
        <v>17</v>
      </c>
      <c r="D318" s="79" t="s">
        <v>79</v>
      </c>
      <c r="E318" s="79" t="s">
        <v>141</v>
      </c>
      <c r="F318" s="79"/>
      <c r="G318" s="81">
        <f>G319</f>
        <v>20063654.640000001</v>
      </c>
      <c r="H318" s="81">
        <f t="shared" ref="H318:I318" si="131">H319</f>
        <v>20787160.119999997</v>
      </c>
      <c r="I318" s="81">
        <f t="shared" si="131"/>
        <v>21580922.029999997</v>
      </c>
      <c r="J318" s="137"/>
      <c r="K318" s="154"/>
      <c r="L318" s="154"/>
      <c r="M318" s="154"/>
      <c r="N318" s="154"/>
      <c r="O318" s="154"/>
      <c r="P318" s="154"/>
      <c r="Q318" s="154"/>
      <c r="R318" s="154"/>
    </row>
    <row r="319" spans="1:18" s="18" customFormat="1" ht="26.4" x14ac:dyDescent="0.25">
      <c r="A319" s="78" t="s">
        <v>55</v>
      </c>
      <c r="B319" s="79" t="s">
        <v>67</v>
      </c>
      <c r="C319" s="79" t="s">
        <v>17</v>
      </c>
      <c r="D319" s="79" t="s">
        <v>79</v>
      </c>
      <c r="E319" s="79" t="s">
        <v>142</v>
      </c>
      <c r="F319" s="79"/>
      <c r="G319" s="81">
        <f>G320+G322</f>
        <v>20063654.640000001</v>
      </c>
      <c r="H319" s="81">
        <f t="shared" ref="H319:I319" si="132">H320+H322</f>
        <v>20787160.119999997</v>
      </c>
      <c r="I319" s="81">
        <f t="shared" si="132"/>
        <v>21580922.029999997</v>
      </c>
      <c r="J319" s="137"/>
      <c r="K319" s="154"/>
      <c r="L319" s="154"/>
      <c r="M319" s="154"/>
      <c r="N319" s="154"/>
      <c r="O319" s="154"/>
      <c r="P319" s="154"/>
      <c r="Q319" s="154"/>
      <c r="R319" s="154"/>
    </row>
    <row r="320" spans="1:18" ht="66" x14ac:dyDescent="0.25">
      <c r="A320" s="78" t="s">
        <v>39</v>
      </c>
      <c r="B320" s="79" t="s">
        <v>67</v>
      </c>
      <c r="C320" s="79" t="s">
        <v>17</v>
      </c>
      <c r="D320" s="79" t="s">
        <v>79</v>
      </c>
      <c r="E320" s="79" t="s">
        <v>142</v>
      </c>
      <c r="F320" s="79" t="s">
        <v>41</v>
      </c>
      <c r="G320" s="81">
        <f>G321</f>
        <v>19655167</v>
      </c>
      <c r="H320" s="81">
        <f>H321</f>
        <v>20065047.719999999</v>
      </c>
      <c r="I320" s="81">
        <f>I321</f>
        <v>20858809.629999999</v>
      </c>
      <c r="J320" s="137"/>
    </row>
    <row r="321" spans="1:18" ht="26.4" x14ac:dyDescent="0.25">
      <c r="A321" s="78" t="s">
        <v>40</v>
      </c>
      <c r="B321" s="79" t="s">
        <v>67</v>
      </c>
      <c r="C321" s="79" t="s">
        <v>17</v>
      </c>
      <c r="D321" s="79" t="s">
        <v>79</v>
      </c>
      <c r="E321" s="79" t="s">
        <v>142</v>
      </c>
      <c r="F321" s="79" t="s">
        <v>42</v>
      </c>
      <c r="G321" s="70">
        <v>19655167</v>
      </c>
      <c r="H321" s="81">
        <v>20065047.719999999</v>
      </c>
      <c r="I321" s="81">
        <v>20858809.629999999</v>
      </c>
      <c r="J321" s="137"/>
    </row>
    <row r="322" spans="1:18" ht="26.4" x14ac:dyDescent="0.25">
      <c r="A322" s="78" t="s">
        <v>25</v>
      </c>
      <c r="B322" s="79" t="s">
        <v>67</v>
      </c>
      <c r="C322" s="79" t="s">
        <v>17</v>
      </c>
      <c r="D322" s="79" t="s">
        <v>79</v>
      </c>
      <c r="E322" s="79" t="s">
        <v>142</v>
      </c>
      <c r="F322" s="79" t="s">
        <v>26</v>
      </c>
      <c r="G322" s="70">
        <f>G323</f>
        <v>408487.64</v>
      </c>
      <c r="H322" s="81">
        <f>H323</f>
        <v>722112.4</v>
      </c>
      <c r="I322" s="81">
        <f>I323</f>
        <v>722112.4</v>
      </c>
      <c r="J322" s="137"/>
    </row>
    <row r="323" spans="1:18" ht="26.4" x14ac:dyDescent="0.25">
      <c r="A323" s="78" t="s">
        <v>27</v>
      </c>
      <c r="B323" s="79" t="s">
        <v>67</v>
      </c>
      <c r="C323" s="79" t="s">
        <v>17</v>
      </c>
      <c r="D323" s="79" t="s">
        <v>79</v>
      </c>
      <c r="E323" s="79" t="s">
        <v>142</v>
      </c>
      <c r="F323" s="79" t="s">
        <v>28</v>
      </c>
      <c r="G323" s="70">
        <v>408487.64</v>
      </c>
      <c r="H323" s="70">
        <v>722112.4</v>
      </c>
      <c r="I323" s="70">
        <v>722112.4</v>
      </c>
      <c r="J323" s="137"/>
    </row>
    <row r="324" spans="1:18" x14ac:dyDescent="0.25">
      <c r="A324" s="189" t="s">
        <v>84</v>
      </c>
      <c r="B324" s="131" t="s">
        <v>67</v>
      </c>
      <c r="C324" s="191" t="s">
        <v>48</v>
      </c>
      <c r="D324" s="191"/>
      <c r="E324" s="191"/>
      <c r="F324" s="191"/>
      <c r="G324" s="188">
        <f>G325+G330</f>
        <v>35296107.680000007</v>
      </c>
      <c r="H324" s="188">
        <f t="shared" ref="H324:I324" si="133">H325+H330</f>
        <v>36547656.390000001</v>
      </c>
      <c r="I324" s="188">
        <f t="shared" si="133"/>
        <v>36254878.199999996</v>
      </c>
      <c r="J324" s="147"/>
      <c r="N324" s="160"/>
    </row>
    <row r="325" spans="1:18" x14ac:dyDescent="0.25">
      <c r="A325" s="78" t="s">
        <v>85</v>
      </c>
      <c r="B325" s="79" t="s">
        <v>67</v>
      </c>
      <c r="C325" s="79" t="s">
        <v>48</v>
      </c>
      <c r="D325" s="79" t="s">
        <v>10</v>
      </c>
      <c r="E325" s="79"/>
      <c r="F325" s="79"/>
      <c r="G325" s="70">
        <f>G326</f>
        <v>82126</v>
      </c>
      <c r="H325" s="81">
        <f>H326</f>
        <v>85411.04</v>
      </c>
      <c r="I325" s="81">
        <f>I326</f>
        <v>88827.48</v>
      </c>
      <c r="J325" s="137"/>
    </row>
    <row r="326" spans="1:18" s="43" customFormat="1" ht="30.75" customHeight="1" x14ac:dyDescent="0.25">
      <c r="A326" s="16" t="s">
        <v>374</v>
      </c>
      <c r="B326" s="79" t="s">
        <v>67</v>
      </c>
      <c r="C326" s="79" t="s">
        <v>48</v>
      </c>
      <c r="D326" s="79" t="s">
        <v>10</v>
      </c>
      <c r="E326" s="79" t="s">
        <v>181</v>
      </c>
      <c r="F326" s="133"/>
      <c r="G326" s="81">
        <f t="shared" ref="G326:I328" si="134">G327</f>
        <v>82126</v>
      </c>
      <c r="H326" s="81">
        <f t="shared" si="134"/>
        <v>85411.04</v>
      </c>
      <c r="I326" s="81">
        <f t="shared" si="134"/>
        <v>88827.48</v>
      </c>
      <c r="J326" s="137"/>
      <c r="K326" s="165"/>
      <c r="L326" s="165"/>
      <c r="M326" s="165"/>
      <c r="N326" s="165"/>
      <c r="O326" s="165"/>
      <c r="P326" s="165"/>
      <c r="Q326" s="165"/>
      <c r="R326" s="165"/>
    </row>
    <row r="327" spans="1:18" s="43" customFormat="1" ht="52.8" x14ac:dyDescent="0.25">
      <c r="A327" s="78" t="s">
        <v>420</v>
      </c>
      <c r="B327" s="79" t="s">
        <v>67</v>
      </c>
      <c r="C327" s="79" t="s">
        <v>48</v>
      </c>
      <c r="D327" s="79" t="s">
        <v>10</v>
      </c>
      <c r="E327" s="79" t="s">
        <v>182</v>
      </c>
      <c r="F327" s="133"/>
      <c r="G327" s="81">
        <f t="shared" si="134"/>
        <v>82126</v>
      </c>
      <c r="H327" s="81">
        <f t="shared" si="134"/>
        <v>85411.04</v>
      </c>
      <c r="I327" s="81">
        <f t="shared" si="134"/>
        <v>88827.48</v>
      </c>
      <c r="J327" s="137"/>
      <c r="K327" s="165"/>
      <c r="L327" s="165"/>
      <c r="M327" s="165"/>
      <c r="N327" s="165"/>
      <c r="O327" s="165"/>
      <c r="P327" s="165"/>
      <c r="Q327" s="165"/>
      <c r="R327" s="165"/>
    </row>
    <row r="328" spans="1:18" s="43" customFormat="1" x14ac:dyDescent="0.25">
      <c r="A328" s="16" t="s">
        <v>86</v>
      </c>
      <c r="B328" s="79" t="s">
        <v>67</v>
      </c>
      <c r="C328" s="79" t="s">
        <v>48</v>
      </c>
      <c r="D328" s="79" t="s">
        <v>10</v>
      </c>
      <c r="E328" s="79" t="s">
        <v>182</v>
      </c>
      <c r="F328" s="79" t="s">
        <v>87</v>
      </c>
      <c r="G328" s="81">
        <f t="shared" si="134"/>
        <v>82126</v>
      </c>
      <c r="H328" s="81">
        <f t="shared" si="134"/>
        <v>85411.04</v>
      </c>
      <c r="I328" s="81">
        <f t="shared" si="134"/>
        <v>88827.48</v>
      </c>
      <c r="J328" s="137"/>
      <c r="K328" s="165"/>
      <c r="L328" s="165"/>
      <c r="M328" s="165"/>
      <c r="N328" s="165"/>
      <c r="O328" s="165"/>
      <c r="P328" s="165"/>
      <c r="Q328" s="165"/>
      <c r="R328" s="165"/>
    </row>
    <row r="329" spans="1:18" s="44" customFormat="1" ht="26.4" x14ac:dyDescent="0.25">
      <c r="A329" s="16" t="s">
        <v>221</v>
      </c>
      <c r="B329" s="79" t="s">
        <v>67</v>
      </c>
      <c r="C329" s="79" t="s">
        <v>48</v>
      </c>
      <c r="D329" s="79" t="s">
        <v>10</v>
      </c>
      <c r="E329" s="79" t="s">
        <v>182</v>
      </c>
      <c r="F329" s="79" t="s">
        <v>222</v>
      </c>
      <c r="G329" s="81">
        <v>82126</v>
      </c>
      <c r="H329" s="81">
        <v>85411.04</v>
      </c>
      <c r="I329" s="81">
        <v>88827.48</v>
      </c>
      <c r="J329" s="137"/>
      <c r="K329" s="166"/>
      <c r="L329" s="166"/>
      <c r="M329" s="166"/>
      <c r="N329" s="166"/>
      <c r="O329" s="166"/>
      <c r="P329" s="166"/>
      <c r="Q329" s="166"/>
      <c r="R329" s="166"/>
    </row>
    <row r="330" spans="1:18" x14ac:dyDescent="0.25">
      <c r="A330" s="13" t="s">
        <v>90</v>
      </c>
      <c r="B330" s="79" t="s">
        <v>67</v>
      </c>
      <c r="C330" s="79" t="s">
        <v>48</v>
      </c>
      <c r="D330" s="79" t="s">
        <v>38</v>
      </c>
      <c r="E330" s="79"/>
      <c r="F330" s="79"/>
      <c r="G330" s="81">
        <f>G331</f>
        <v>35213981.680000007</v>
      </c>
      <c r="H330" s="81">
        <f t="shared" ref="H330:I330" si="135">H331</f>
        <v>36462245.350000001</v>
      </c>
      <c r="I330" s="81">
        <f t="shared" si="135"/>
        <v>36166050.719999999</v>
      </c>
      <c r="J330" s="137"/>
    </row>
    <row r="331" spans="1:18" s="28" customFormat="1" ht="30.75" customHeight="1" x14ac:dyDescent="0.25">
      <c r="A331" s="16" t="s">
        <v>362</v>
      </c>
      <c r="B331" s="79" t="s">
        <v>67</v>
      </c>
      <c r="C331" s="79" t="s">
        <v>48</v>
      </c>
      <c r="D331" s="79" t="s">
        <v>38</v>
      </c>
      <c r="E331" s="79" t="s">
        <v>108</v>
      </c>
      <c r="F331" s="133"/>
      <c r="G331" s="81">
        <f>G332</f>
        <v>35213981.680000007</v>
      </c>
      <c r="H331" s="81">
        <f t="shared" ref="H331:I331" si="136">H332</f>
        <v>36462245.350000001</v>
      </c>
      <c r="I331" s="81">
        <f t="shared" si="136"/>
        <v>36166050.719999999</v>
      </c>
      <c r="J331" s="137"/>
      <c r="K331" s="156"/>
      <c r="L331" s="156"/>
      <c r="M331" s="156"/>
      <c r="N331" s="156"/>
      <c r="O331" s="156"/>
      <c r="P331" s="156"/>
      <c r="Q331" s="156"/>
      <c r="R331" s="156"/>
    </row>
    <row r="332" spans="1:18" ht="47.25" customHeight="1" x14ac:dyDescent="0.25">
      <c r="A332" s="78" t="s">
        <v>386</v>
      </c>
      <c r="B332" s="79" t="s">
        <v>67</v>
      </c>
      <c r="C332" s="79" t="s">
        <v>48</v>
      </c>
      <c r="D332" s="79" t="s">
        <v>38</v>
      </c>
      <c r="E332" s="79" t="s">
        <v>132</v>
      </c>
      <c r="F332" s="79"/>
      <c r="G332" s="81">
        <f>G339+G342+G345+G333+G336</f>
        <v>35213981.680000007</v>
      </c>
      <c r="H332" s="81">
        <f t="shared" ref="H332:I332" si="137">H339+H342+H345+H333+H336</f>
        <v>36462245.350000001</v>
      </c>
      <c r="I332" s="81">
        <f t="shared" si="137"/>
        <v>36166050.719999999</v>
      </c>
      <c r="J332" s="137"/>
    </row>
    <row r="333" spans="1:18" s="18" customFormat="1" ht="51" customHeight="1" x14ac:dyDescent="0.25">
      <c r="A333" s="194" t="s">
        <v>318</v>
      </c>
      <c r="B333" s="79" t="s">
        <v>67</v>
      </c>
      <c r="C333" s="79" t="s">
        <v>48</v>
      </c>
      <c r="D333" s="79" t="s">
        <v>38</v>
      </c>
      <c r="E333" s="79" t="s">
        <v>314</v>
      </c>
      <c r="F333" s="79"/>
      <c r="G333" s="70">
        <f t="shared" ref="G333:I334" si="138">G334</f>
        <v>3687274</v>
      </c>
      <c r="H333" s="81">
        <f t="shared" si="138"/>
        <v>4152314.4</v>
      </c>
      <c r="I333" s="81">
        <f t="shared" si="138"/>
        <v>4318406.9800000004</v>
      </c>
      <c r="J333" s="137"/>
      <c r="K333" s="154"/>
      <c r="L333" s="154"/>
      <c r="M333" s="154"/>
      <c r="N333" s="154"/>
      <c r="O333" s="154"/>
      <c r="P333" s="154"/>
      <c r="Q333" s="154"/>
      <c r="R333" s="154"/>
    </row>
    <row r="334" spans="1:18" s="18" customFormat="1" ht="26.4" x14ac:dyDescent="0.25">
      <c r="A334" s="78" t="s">
        <v>21</v>
      </c>
      <c r="B334" s="79" t="s">
        <v>67</v>
      </c>
      <c r="C334" s="79" t="s">
        <v>48</v>
      </c>
      <c r="D334" s="79" t="s">
        <v>38</v>
      </c>
      <c r="E334" s="79" t="s">
        <v>314</v>
      </c>
      <c r="F334" s="79" t="s">
        <v>22</v>
      </c>
      <c r="G334" s="70">
        <f t="shared" si="138"/>
        <v>3687274</v>
      </c>
      <c r="H334" s="81">
        <f t="shared" si="138"/>
        <v>4152314.4</v>
      </c>
      <c r="I334" s="81">
        <f t="shared" si="138"/>
        <v>4318406.9800000004</v>
      </c>
      <c r="J334" s="137"/>
      <c r="K334" s="154"/>
      <c r="L334" s="154"/>
      <c r="M334" s="154"/>
      <c r="N334" s="154"/>
      <c r="O334" s="154"/>
      <c r="P334" s="154"/>
      <c r="Q334" s="154"/>
      <c r="R334" s="154"/>
    </row>
    <row r="335" spans="1:18" x14ac:dyDescent="0.25">
      <c r="A335" s="78" t="s">
        <v>23</v>
      </c>
      <c r="B335" s="79" t="s">
        <v>67</v>
      </c>
      <c r="C335" s="79" t="s">
        <v>48</v>
      </c>
      <c r="D335" s="79" t="s">
        <v>38</v>
      </c>
      <c r="E335" s="79" t="s">
        <v>314</v>
      </c>
      <c r="F335" s="79" t="s">
        <v>24</v>
      </c>
      <c r="G335" s="70">
        <v>3687274</v>
      </c>
      <c r="H335" s="81">
        <v>4152314.4</v>
      </c>
      <c r="I335" s="81">
        <v>4318406.9800000004</v>
      </c>
      <c r="J335" s="137"/>
    </row>
    <row r="336" spans="1:18" s="18" customFormat="1" ht="40.5" customHeight="1" x14ac:dyDescent="0.25">
      <c r="A336" s="194" t="s">
        <v>315</v>
      </c>
      <c r="B336" s="79" t="s">
        <v>67</v>
      </c>
      <c r="C336" s="79" t="s">
        <v>48</v>
      </c>
      <c r="D336" s="79" t="s">
        <v>38</v>
      </c>
      <c r="E336" s="15" t="s">
        <v>319</v>
      </c>
      <c r="F336" s="15"/>
      <c r="G336" s="70">
        <f t="shared" ref="G336:I337" si="139">G337</f>
        <v>2605082</v>
      </c>
      <c r="H336" s="70">
        <f t="shared" si="139"/>
        <v>3368665.56</v>
      </c>
      <c r="I336" s="81">
        <f t="shared" si="139"/>
        <v>3503412.18</v>
      </c>
      <c r="J336" s="137"/>
      <c r="K336" s="154"/>
      <c r="L336" s="154"/>
      <c r="M336" s="154"/>
      <c r="N336" s="154"/>
      <c r="O336" s="154"/>
      <c r="P336" s="154"/>
      <c r="Q336" s="154"/>
      <c r="R336" s="154"/>
    </row>
    <row r="337" spans="1:18" s="18" customFormat="1" ht="26.4" x14ac:dyDescent="0.25">
      <c r="A337" s="78" t="s">
        <v>21</v>
      </c>
      <c r="B337" s="79" t="s">
        <v>67</v>
      </c>
      <c r="C337" s="79" t="s">
        <v>48</v>
      </c>
      <c r="D337" s="79" t="s">
        <v>38</v>
      </c>
      <c r="E337" s="15" t="s">
        <v>319</v>
      </c>
      <c r="F337" s="15" t="s">
        <v>22</v>
      </c>
      <c r="G337" s="70">
        <f t="shared" si="139"/>
        <v>2605082</v>
      </c>
      <c r="H337" s="70">
        <f t="shared" si="139"/>
        <v>3368665.56</v>
      </c>
      <c r="I337" s="81">
        <f t="shared" si="139"/>
        <v>3503412.18</v>
      </c>
      <c r="J337" s="137"/>
      <c r="K337" s="154"/>
      <c r="L337" s="154"/>
      <c r="M337" s="154"/>
      <c r="N337" s="154"/>
      <c r="O337" s="154"/>
      <c r="P337" s="154"/>
      <c r="Q337" s="154"/>
      <c r="R337" s="154"/>
    </row>
    <row r="338" spans="1:18" x14ac:dyDescent="0.25">
      <c r="A338" s="78" t="s">
        <v>23</v>
      </c>
      <c r="B338" s="79" t="s">
        <v>67</v>
      </c>
      <c r="C338" s="79" t="s">
        <v>48</v>
      </c>
      <c r="D338" s="79" t="s">
        <v>38</v>
      </c>
      <c r="E338" s="15" t="s">
        <v>319</v>
      </c>
      <c r="F338" s="15" t="s">
        <v>24</v>
      </c>
      <c r="G338" s="70">
        <v>2605082</v>
      </c>
      <c r="H338" s="70">
        <v>3368665.56</v>
      </c>
      <c r="I338" s="81">
        <v>3503412.18</v>
      </c>
      <c r="J338" s="137"/>
    </row>
    <row r="339" spans="1:18" s="18" customFormat="1" ht="84.75" customHeight="1" x14ac:dyDescent="0.25">
      <c r="A339" s="206" t="s">
        <v>497</v>
      </c>
      <c r="B339" s="15" t="s">
        <v>67</v>
      </c>
      <c r="C339" s="15" t="s">
        <v>48</v>
      </c>
      <c r="D339" s="15" t="s">
        <v>38</v>
      </c>
      <c r="E339" s="15" t="s">
        <v>246</v>
      </c>
      <c r="F339" s="15"/>
      <c r="G339" s="70">
        <f t="shared" ref="G339:I340" si="140">G340</f>
        <v>697755</v>
      </c>
      <c r="H339" s="70">
        <f t="shared" si="140"/>
        <v>412800</v>
      </c>
      <c r="I339" s="70">
        <f t="shared" si="140"/>
        <v>412800</v>
      </c>
      <c r="J339" s="136"/>
      <c r="K339" s="141"/>
      <c r="L339" s="141"/>
      <c r="M339" s="141"/>
      <c r="N339" s="141"/>
      <c r="O339" s="141"/>
      <c r="P339" s="141"/>
      <c r="Q339" s="141"/>
      <c r="R339" s="141"/>
    </row>
    <row r="340" spans="1:18" s="18" customFormat="1" ht="26.4" x14ac:dyDescent="0.25">
      <c r="A340" s="78" t="s">
        <v>21</v>
      </c>
      <c r="B340" s="79" t="s">
        <v>67</v>
      </c>
      <c r="C340" s="79" t="s">
        <v>48</v>
      </c>
      <c r="D340" s="79" t="s">
        <v>38</v>
      </c>
      <c r="E340" s="79" t="s">
        <v>246</v>
      </c>
      <c r="F340" s="79" t="s">
        <v>22</v>
      </c>
      <c r="G340" s="81">
        <f t="shared" si="140"/>
        <v>697755</v>
      </c>
      <c r="H340" s="81">
        <f t="shared" si="140"/>
        <v>412800</v>
      </c>
      <c r="I340" s="81">
        <f t="shared" si="140"/>
        <v>412800</v>
      </c>
      <c r="J340" s="137"/>
      <c r="K340" s="154"/>
      <c r="L340" s="154"/>
      <c r="M340" s="154"/>
      <c r="N340" s="154"/>
      <c r="O340" s="154"/>
      <c r="P340" s="154"/>
      <c r="Q340" s="154"/>
      <c r="R340" s="154"/>
    </row>
    <row r="341" spans="1:18" s="18" customFormat="1" x14ac:dyDescent="0.25">
      <c r="A341" s="78" t="s">
        <v>23</v>
      </c>
      <c r="B341" s="79" t="s">
        <v>67</v>
      </c>
      <c r="C341" s="79" t="s">
        <v>48</v>
      </c>
      <c r="D341" s="79" t="s">
        <v>38</v>
      </c>
      <c r="E341" s="15" t="s">
        <v>246</v>
      </c>
      <c r="F341" s="15" t="s">
        <v>24</v>
      </c>
      <c r="G341" s="70">
        <f>295275+402480</f>
        <v>697755</v>
      </c>
      <c r="H341" s="70">
        <v>412800</v>
      </c>
      <c r="I341" s="70">
        <v>412800</v>
      </c>
      <c r="J341" s="137"/>
      <c r="K341" s="154"/>
      <c r="L341" s="154"/>
      <c r="M341" s="154"/>
      <c r="N341" s="154"/>
      <c r="O341" s="154"/>
      <c r="P341" s="154"/>
      <c r="Q341" s="154"/>
      <c r="R341" s="154"/>
    </row>
    <row r="342" spans="1:18" s="28" customFormat="1" ht="87" customHeight="1" x14ac:dyDescent="0.25">
      <c r="A342" s="206" t="s">
        <v>498</v>
      </c>
      <c r="B342" s="15" t="s">
        <v>67</v>
      </c>
      <c r="C342" s="15" t="s">
        <v>48</v>
      </c>
      <c r="D342" s="15" t="s">
        <v>38</v>
      </c>
      <c r="E342" s="15" t="s">
        <v>430</v>
      </c>
      <c r="F342" s="39"/>
      <c r="G342" s="70">
        <f t="shared" ref="G342:I343" si="141">G343</f>
        <v>8690594.4600000009</v>
      </c>
      <c r="H342" s="70">
        <f t="shared" si="141"/>
        <v>11636163.539999999</v>
      </c>
      <c r="I342" s="70">
        <f t="shared" si="141"/>
        <v>11636163.539999999</v>
      </c>
      <c r="J342" s="136"/>
      <c r="K342" s="202"/>
      <c r="L342" s="202"/>
      <c r="M342" s="202"/>
      <c r="N342" s="202"/>
      <c r="O342" s="202"/>
      <c r="P342" s="202"/>
      <c r="Q342" s="202"/>
      <c r="R342" s="202"/>
    </row>
    <row r="343" spans="1:18" s="28" customFormat="1" ht="26.4" x14ac:dyDescent="0.25">
      <c r="A343" s="78" t="s">
        <v>21</v>
      </c>
      <c r="B343" s="79" t="s">
        <v>67</v>
      </c>
      <c r="C343" s="79" t="s">
        <v>48</v>
      </c>
      <c r="D343" s="79" t="s">
        <v>38</v>
      </c>
      <c r="E343" s="15" t="s">
        <v>430</v>
      </c>
      <c r="F343" s="15" t="s">
        <v>22</v>
      </c>
      <c r="G343" s="70">
        <f t="shared" si="141"/>
        <v>8690594.4600000009</v>
      </c>
      <c r="H343" s="70">
        <f t="shared" si="141"/>
        <v>11636163.539999999</v>
      </c>
      <c r="I343" s="70">
        <f t="shared" si="141"/>
        <v>11636163.539999999</v>
      </c>
      <c r="J343" s="137"/>
      <c r="K343" s="156"/>
      <c r="L343" s="156"/>
      <c r="M343" s="156"/>
      <c r="N343" s="156"/>
      <c r="O343" s="156"/>
      <c r="P343" s="156"/>
      <c r="Q343" s="156"/>
      <c r="R343" s="156"/>
    </row>
    <row r="344" spans="1:18" x14ac:dyDescent="0.25">
      <c r="A344" s="78" t="s">
        <v>23</v>
      </c>
      <c r="B344" s="79" t="s">
        <v>67</v>
      </c>
      <c r="C344" s="79" t="s">
        <v>48</v>
      </c>
      <c r="D344" s="79" t="s">
        <v>38</v>
      </c>
      <c r="E344" s="15" t="s">
        <v>430</v>
      </c>
      <c r="F344" s="15" t="s">
        <v>24</v>
      </c>
      <c r="G344" s="70">
        <v>8690594.4600000009</v>
      </c>
      <c r="H344" s="70">
        <v>11636163.539999999</v>
      </c>
      <c r="I344" s="70">
        <v>11636163.539999999</v>
      </c>
      <c r="J344" s="137"/>
    </row>
    <row r="345" spans="1:18" s="28" customFormat="1" ht="86.25" customHeight="1" x14ac:dyDescent="0.25">
      <c r="A345" s="206" t="s">
        <v>427</v>
      </c>
      <c r="B345" s="15" t="s">
        <v>67</v>
      </c>
      <c r="C345" s="15" t="s">
        <v>48</v>
      </c>
      <c r="D345" s="15" t="s">
        <v>38</v>
      </c>
      <c r="E345" s="15" t="s">
        <v>289</v>
      </c>
      <c r="F345" s="39"/>
      <c r="G345" s="70">
        <f t="shared" ref="G345:I346" si="142">G346</f>
        <v>19533276.220000003</v>
      </c>
      <c r="H345" s="70">
        <f t="shared" si="142"/>
        <v>16892301.850000001</v>
      </c>
      <c r="I345" s="70">
        <f t="shared" si="142"/>
        <v>16295268.02</v>
      </c>
      <c r="J345" s="136"/>
      <c r="K345" s="202"/>
      <c r="L345" s="202"/>
      <c r="M345" s="202"/>
      <c r="N345" s="202"/>
      <c r="O345" s="202"/>
      <c r="P345" s="202"/>
      <c r="Q345" s="202"/>
      <c r="R345" s="202"/>
    </row>
    <row r="346" spans="1:18" s="28" customFormat="1" ht="26.4" x14ac:dyDescent="0.25">
      <c r="A346" s="78" t="s">
        <v>21</v>
      </c>
      <c r="B346" s="79" t="s">
        <v>67</v>
      </c>
      <c r="C346" s="79" t="s">
        <v>48</v>
      </c>
      <c r="D346" s="79" t="s">
        <v>38</v>
      </c>
      <c r="E346" s="15" t="s">
        <v>289</v>
      </c>
      <c r="F346" s="15" t="s">
        <v>22</v>
      </c>
      <c r="G346" s="70">
        <f t="shared" si="142"/>
        <v>19533276.220000003</v>
      </c>
      <c r="H346" s="81">
        <f t="shared" si="142"/>
        <v>16892301.850000001</v>
      </c>
      <c r="I346" s="81">
        <f t="shared" si="142"/>
        <v>16295268.02</v>
      </c>
      <c r="J346" s="137"/>
      <c r="K346" s="156"/>
      <c r="L346" s="156"/>
      <c r="M346" s="156"/>
      <c r="N346" s="156"/>
      <c r="O346" s="156"/>
      <c r="P346" s="156"/>
      <c r="Q346" s="156"/>
      <c r="R346" s="156"/>
    </row>
    <row r="347" spans="1:18" x14ac:dyDescent="0.25">
      <c r="A347" s="78" t="s">
        <v>23</v>
      </c>
      <c r="B347" s="79" t="s">
        <v>67</v>
      </c>
      <c r="C347" s="79" t="s">
        <v>48</v>
      </c>
      <c r="D347" s="79" t="s">
        <v>38</v>
      </c>
      <c r="E347" s="15" t="s">
        <v>289</v>
      </c>
      <c r="F347" s="15" t="s">
        <v>24</v>
      </c>
      <c r="G347" s="70">
        <f>19513742.94+19533.28</f>
        <v>19533276.220000003</v>
      </c>
      <c r="H347" s="81">
        <f>16875409.55+16892.3</f>
        <v>16892301.850000001</v>
      </c>
      <c r="I347" s="81">
        <f>16278972.75+16295.27</f>
        <v>16295268.02</v>
      </c>
      <c r="J347" s="137"/>
    </row>
    <row r="348" spans="1:18" s="106" customFormat="1" x14ac:dyDescent="0.25">
      <c r="A348" s="260" t="s">
        <v>53</v>
      </c>
      <c r="B348" s="258"/>
      <c r="C348" s="261"/>
      <c r="D348" s="261"/>
      <c r="E348" s="261"/>
      <c r="F348" s="261"/>
      <c r="G348" s="259">
        <f>G171+G324+G165</f>
        <v>1316137765.04</v>
      </c>
      <c r="H348" s="259">
        <f>H171+H324+H165</f>
        <v>1348316366.6200001</v>
      </c>
      <c r="I348" s="259">
        <f>I171+I324+I165</f>
        <v>1395401718.0899997</v>
      </c>
      <c r="J348" s="148"/>
      <c r="K348" s="159"/>
      <c r="L348" s="159"/>
      <c r="M348" s="158"/>
      <c r="N348" s="159"/>
      <c r="O348" s="159">
        <f>I211+I214+I234+I301+I305+I344+I347</f>
        <v>610012754.75999999</v>
      </c>
      <c r="P348" s="158"/>
      <c r="Q348" s="158"/>
      <c r="R348" s="158"/>
    </row>
    <row r="349" spans="1:18" s="84" customFormat="1" ht="46.5" customHeight="1" x14ac:dyDescent="0.25">
      <c r="A349" s="238" t="s">
        <v>408</v>
      </c>
      <c r="B349" s="239">
        <v>792</v>
      </c>
      <c r="C349" s="239"/>
      <c r="D349" s="239"/>
      <c r="E349" s="239"/>
      <c r="F349" s="239"/>
      <c r="G349" s="241"/>
      <c r="H349" s="241"/>
      <c r="I349" s="241"/>
      <c r="J349" s="152"/>
      <c r="K349" s="160"/>
      <c r="L349" s="160"/>
      <c r="M349" s="142"/>
      <c r="N349" s="160"/>
      <c r="O349" s="142"/>
      <c r="P349" s="142"/>
      <c r="Q349" s="142"/>
      <c r="R349" s="142"/>
    </row>
    <row r="350" spans="1:18" x14ac:dyDescent="0.25">
      <c r="A350" s="193" t="s">
        <v>9</v>
      </c>
      <c r="B350" s="192">
        <v>792</v>
      </c>
      <c r="C350" s="191" t="s">
        <v>10</v>
      </c>
      <c r="D350" s="191"/>
      <c r="E350" s="191"/>
      <c r="F350" s="191"/>
      <c r="G350" s="188">
        <f>G351+G361</f>
        <v>19534435.810000002</v>
      </c>
      <c r="H350" s="188">
        <f t="shared" ref="H350:I350" si="143">H351+H361</f>
        <v>19631403</v>
      </c>
      <c r="I350" s="188">
        <f t="shared" si="143"/>
        <v>19828052</v>
      </c>
      <c r="J350" s="147"/>
    </row>
    <row r="351" spans="1:18" ht="39.6" x14ac:dyDescent="0.25">
      <c r="A351" s="78" t="s">
        <v>91</v>
      </c>
      <c r="B351" s="120">
        <v>792</v>
      </c>
      <c r="C351" s="79" t="s">
        <v>10</v>
      </c>
      <c r="D351" s="79" t="s">
        <v>92</v>
      </c>
      <c r="E351" s="79"/>
      <c r="F351" s="79"/>
      <c r="G351" s="81">
        <f t="shared" ref="G351:I353" si="144">G352</f>
        <v>15823479.810000001</v>
      </c>
      <c r="H351" s="81">
        <f t="shared" si="144"/>
        <v>16015032</v>
      </c>
      <c r="I351" s="81">
        <f t="shared" si="144"/>
        <v>16212018</v>
      </c>
      <c r="J351" s="137"/>
      <c r="K351" s="160"/>
    </row>
    <row r="352" spans="1:18" s="33" customFormat="1" ht="45.75" customHeight="1" x14ac:dyDescent="0.25">
      <c r="A352" s="16" t="s">
        <v>371</v>
      </c>
      <c r="B352" s="120">
        <v>792</v>
      </c>
      <c r="C352" s="79" t="s">
        <v>10</v>
      </c>
      <c r="D352" s="79" t="s">
        <v>92</v>
      </c>
      <c r="E352" s="79" t="s">
        <v>143</v>
      </c>
      <c r="F352" s="133"/>
      <c r="G352" s="81">
        <f t="shared" si="144"/>
        <v>15823479.810000001</v>
      </c>
      <c r="H352" s="81">
        <f t="shared" si="144"/>
        <v>16015032</v>
      </c>
      <c r="I352" s="81">
        <f t="shared" si="144"/>
        <v>16212018</v>
      </c>
      <c r="J352" s="137"/>
      <c r="K352" s="167"/>
      <c r="L352" s="162"/>
      <c r="M352" s="162"/>
      <c r="N352" s="162"/>
      <c r="O352" s="162"/>
      <c r="P352" s="162"/>
      <c r="Q352" s="162"/>
      <c r="R352" s="162"/>
    </row>
    <row r="353" spans="1:18" s="46" customFormat="1" ht="41.25" customHeight="1" x14ac:dyDescent="0.25">
      <c r="A353" s="78" t="s">
        <v>383</v>
      </c>
      <c r="B353" s="120">
        <v>792</v>
      </c>
      <c r="C353" s="79" t="s">
        <v>10</v>
      </c>
      <c r="D353" s="79" t="s">
        <v>92</v>
      </c>
      <c r="E353" s="79" t="s">
        <v>144</v>
      </c>
      <c r="F353" s="79"/>
      <c r="G353" s="81">
        <f t="shared" si="144"/>
        <v>15823479.810000001</v>
      </c>
      <c r="H353" s="81">
        <f t="shared" si="144"/>
        <v>16015032</v>
      </c>
      <c r="I353" s="81">
        <f t="shared" si="144"/>
        <v>16212018</v>
      </c>
      <c r="J353" s="137"/>
      <c r="K353" s="168"/>
      <c r="L353" s="168"/>
      <c r="M353" s="168"/>
      <c r="N353" s="168"/>
      <c r="O353" s="168"/>
      <c r="P353" s="168"/>
      <c r="Q353" s="168"/>
      <c r="R353" s="168"/>
    </row>
    <row r="354" spans="1:18" s="46" customFormat="1" ht="27.75" customHeight="1" x14ac:dyDescent="0.25">
      <c r="A354" s="78" t="s">
        <v>55</v>
      </c>
      <c r="B354" s="120">
        <v>792</v>
      </c>
      <c r="C354" s="79" t="s">
        <v>10</v>
      </c>
      <c r="D354" s="79" t="s">
        <v>92</v>
      </c>
      <c r="E354" s="79" t="s">
        <v>145</v>
      </c>
      <c r="F354" s="79"/>
      <c r="G354" s="81">
        <f>G355+G357+G359</f>
        <v>15823479.810000001</v>
      </c>
      <c r="H354" s="81">
        <f t="shared" ref="H354:I354" si="145">H355+H357+H359</f>
        <v>16015032</v>
      </c>
      <c r="I354" s="81">
        <f t="shared" si="145"/>
        <v>16212018</v>
      </c>
      <c r="J354" s="137"/>
      <c r="K354" s="168"/>
      <c r="L354" s="168"/>
      <c r="M354" s="168"/>
      <c r="N354" s="168"/>
      <c r="O354" s="168"/>
      <c r="P354" s="168"/>
      <c r="Q354" s="168"/>
      <c r="R354" s="168"/>
    </row>
    <row r="355" spans="1:18" s="46" customFormat="1" ht="51" customHeight="1" x14ac:dyDescent="0.25">
      <c r="A355" s="78" t="s">
        <v>39</v>
      </c>
      <c r="B355" s="120">
        <v>792</v>
      </c>
      <c r="C355" s="79" t="s">
        <v>10</v>
      </c>
      <c r="D355" s="79" t="s">
        <v>92</v>
      </c>
      <c r="E355" s="79" t="s">
        <v>145</v>
      </c>
      <c r="F355" s="79" t="s">
        <v>41</v>
      </c>
      <c r="G355" s="81">
        <f>G356</f>
        <v>14684467</v>
      </c>
      <c r="H355" s="81">
        <f>H356</f>
        <v>14830007</v>
      </c>
      <c r="I355" s="81">
        <f>I356</f>
        <v>14976993</v>
      </c>
      <c r="J355" s="137"/>
      <c r="K355" s="168"/>
      <c r="L355" s="168"/>
      <c r="M355" s="168"/>
      <c r="N355" s="168"/>
      <c r="O355" s="168"/>
      <c r="P355" s="168"/>
      <c r="Q355" s="168"/>
      <c r="R355" s="168"/>
    </row>
    <row r="356" spans="1:18" s="46" customFormat="1" ht="26.4" x14ac:dyDescent="0.25">
      <c r="A356" s="78" t="s">
        <v>40</v>
      </c>
      <c r="B356" s="120">
        <v>792</v>
      </c>
      <c r="C356" s="79" t="s">
        <v>10</v>
      </c>
      <c r="D356" s="79" t="s">
        <v>92</v>
      </c>
      <c r="E356" s="79" t="s">
        <v>145</v>
      </c>
      <c r="F356" s="79" t="s">
        <v>42</v>
      </c>
      <c r="G356" s="81">
        <f>11178239+130400+3375828</f>
        <v>14684467</v>
      </c>
      <c r="H356" s="81">
        <f>11290021+130400+3409586</f>
        <v>14830007</v>
      </c>
      <c r="I356" s="81">
        <f>11402921+130400+3443672</f>
        <v>14976993</v>
      </c>
      <c r="J356" s="137"/>
      <c r="K356" s="168"/>
      <c r="L356" s="168"/>
      <c r="M356" s="168"/>
      <c r="N356" s="168"/>
      <c r="O356" s="168"/>
      <c r="P356" s="168"/>
      <c r="Q356" s="168"/>
      <c r="R356" s="168"/>
    </row>
    <row r="357" spans="1:18" s="46" customFormat="1" ht="26.4" x14ac:dyDescent="0.25">
      <c r="A357" s="78" t="s">
        <v>25</v>
      </c>
      <c r="B357" s="120">
        <v>792</v>
      </c>
      <c r="C357" s="79" t="s">
        <v>10</v>
      </c>
      <c r="D357" s="79" t="s">
        <v>92</v>
      </c>
      <c r="E357" s="79" t="s">
        <v>145</v>
      </c>
      <c r="F357" s="79" t="s">
        <v>26</v>
      </c>
      <c r="G357" s="81">
        <f>G358</f>
        <v>1104012.81</v>
      </c>
      <c r="H357" s="81">
        <f>H358</f>
        <v>1150025</v>
      </c>
      <c r="I357" s="81">
        <f>I358</f>
        <v>1200025</v>
      </c>
      <c r="J357" s="137"/>
      <c r="K357" s="168"/>
      <c r="L357" s="168"/>
      <c r="M357" s="168"/>
      <c r="N357" s="168"/>
      <c r="O357" s="168"/>
      <c r="P357" s="168"/>
      <c r="Q357" s="168"/>
      <c r="R357" s="168"/>
    </row>
    <row r="358" spans="1:18" s="46" customFormat="1" ht="26.4" x14ac:dyDescent="0.25">
      <c r="A358" s="78" t="s">
        <v>27</v>
      </c>
      <c r="B358" s="120">
        <v>792</v>
      </c>
      <c r="C358" s="79" t="s">
        <v>10</v>
      </c>
      <c r="D358" s="79" t="s">
        <v>92</v>
      </c>
      <c r="E358" s="79" t="s">
        <v>145</v>
      </c>
      <c r="F358" s="79" t="s">
        <v>28</v>
      </c>
      <c r="G358" s="81">
        <f>1104012.25+0.56</f>
        <v>1104012.81</v>
      </c>
      <c r="H358" s="81">
        <v>1150025</v>
      </c>
      <c r="I358" s="81">
        <v>1200025</v>
      </c>
      <c r="J358" s="137"/>
      <c r="K358" s="168"/>
      <c r="L358" s="168"/>
      <c r="M358" s="168"/>
      <c r="N358" s="168"/>
      <c r="O358" s="168"/>
      <c r="P358" s="168"/>
      <c r="Q358" s="168"/>
      <c r="R358" s="168"/>
    </row>
    <row r="359" spans="1:18" s="46" customFormat="1" x14ac:dyDescent="0.25">
      <c r="A359" s="112" t="s">
        <v>43</v>
      </c>
      <c r="B359" s="120">
        <v>792</v>
      </c>
      <c r="C359" s="79" t="s">
        <v>10</v>
      </c>
      <c r="D359" s="79" t="s">
        <v>92</v>
      </c>
      <c r="E359" s="79" t="s">
        <v>145</v>
      </c>
      <c r="F359" s="79" t="s">
        <v>44</v>
      </c>
      <c r="G359" s="81">
        <f>G360</f>
        <v>35000</v>
      </c>
      <c r="H359" s="81">
        <f>H360</f>
        <v>35000</v>
      </c>
      <c r="I359" s="81">
        <f>I360</f>
        <v>35000</v>
      </c>
      <c r="J359" s="137"/>
      <c r="K359" s="168"/>
      <c r="L359" s="168"/>
      <c r="M359" s="168"/>
      <c r="N359" s="168"/>
      <c r="O359" s="168"/>
      <c r="P359" s="168"/>
      <c r="Q359" s="168"/>
      <c r="R359" s="168"/>
    </row>
    <row r="360" spans="1:18" s="46" customFormat="1" x14ac:dyDescent="0.25">
      <c r="A360" s="112" t="s">
        <v>83</v>
      </c>
      <c r="B360" s="120">
        <v>792</v>
      </c>
      <c r="C360" s="79" t="s">
        <v>10</v>
      </c>
      <c r="D360" s="79" t="s">
        <v>92</v>
      </c>
      <c r="E360" s="79" t="s">
        <v>145</v>
      </c>
      <c r="F360" s="79" t="s">
        <v>46</v>
      </c>
      <c r="G360" s="81">
        <v>35000</v>
      </c>
      <c r="H360" s="81">
        <v>35000</v>
      </c>
      <c r="I360" s="81">
        <v>35000</v>
      </c>
      <c r="J360" s="137"/>
      <c r="K360" s="168"/>
      <c r="L360" s="168"/>
      <c r="M360" s="168"/>
      <c r="N360" s="168"/>
      <c r="O360" s="168"/>
      <c r="P360" s="168"/>
      <c r="Q360" s="168"/>
      <c r="R360" s="168"/>
    </row>
    <row r="361" spans="1:18" x14ac:dyDescent="0.25">
      <c r="A361" s="113" t="s">
        <v>13</v>
      </c>
      <c r="B361" s="120">
        <v>792</v>
      </c>
      <c r="C361" s="79" t="s">
        <v>10</v>
      </c>
      <c r="D361" s="79" t="s">
        <v>14</v>
      </c>
      <c r="E361" s="79"/>
      <c r="F361" s="79"/>
      <c r="G361" s="81">
        <f>G362</f>
        <v>3710956</v>
      </c>
      <c r="H361" s="81">
        <f t="shared" ref="H361:I362" si="146">H362</f>
        <v>3616371</v>
      </c>
      <c r="I361" s="81">
        <f t="shared" si="146"/>
        <v>3616034</v>
      </c>
      <c r="J361" s="137"/>
    </row>
    <row r="362" spans="1:18" s="33" customFormat="1" ht="31.5" customHeight="1" x14ac:dyDescent="0.25">
      <c r="A362" s="78" t="s">
        <v>70</v>
      </c>
      <c r="B362" s="120">
        <v>792</v>
      </c>
      <c r="C362" s="79" t="s">
        <v>10</v>
      </c>
      <c r="D362" s="79" t="s">
        <v>14</v>
      </c>
      <c r="E362" s="120" t="s">
        <v>127</v>
      </c>
      <c r="F362" s="79"/>
      <c r="G362" s="81">
        <f>G363</f>
        <v>3710956</v>
      </c>
      <c r="H362" s="81">
        <f t="shared" si="146"/>
        <v>3616371</v>
      </c>
      <c r="I362" s="81">
        <f t="shared" si="146"/>
        <v>3616034</v>
      </c>
      <c r="J362" s="137"/>
      <c r="K362" s="162"/>
      <c r="L362" s="162"/>
      <c r="M362" s="162"/>
      <c r="N362" s="162"/>
      <c r="O362" s="162"/>
      <c r="P362" s="162"/>
      <c r="Q362" s="162"/>
      <c r="R362" s="162"/>
    </row>
    <row r="363" spans="1:18" ht="18.75" customHeight="1" x14ac:dyDescent="0.25">
      <c r="A363" s="78" t="s">
        <v>206</v>
      </c>
      <c r="B363" s="120">
        <v>792</v>
      </c>
      <c r="C363" s="79" t="s">
        <v>10</v>
      </c>
      <c r="D363" s="79" t="s">
        <v>14</v>
      </c>
      <c r="E363" s="79" t="s">
        <v>128</v>
      </c>
      <c r="F363" s="79"/>
      <c r="G363" s="81">
        <f>G364</f>
        <v>3710956</v>
      </c>
      <c r="H363" s="81">
        <f t="shared" ref="H363:I363" si="147">H364</f>
        <v>3616371</v>
      </c>
      <c r="I363" s="81">
        <f t="shared" si="147"/>
        <v>3616034</v>
      </c>
      <c r="J363" s="137"/>
    </row>
    <row r="364" spans="1:18" ht="18.75" customHeight="1" x14ac:dyDescent="0.25">
      <c r="A364" s="78" t="s">
        <v>43</v>
      </c>
      <c r="B364" s="120">
        <v>792</v>
      </c>
      <c r="C364" s="79" t="s">
        <v>10</v>
      </c>
      <c r="D364" s="79" t="s">
        <v>14</v>
      </c>
      <c r="E364" s="79" t="s">
        <v>128</v>
      </c>
      <c r="F364" s="79" t="s">
        <v>44</v>
      </c>
      <c r="G364" s="81">
        <f>G365</f>
        <v>3710956</v>
      </c>
      <c r="H364" s="81">
        <f>H365</f>
        <v>3616371</v>
      </c>
      <c r="I364" s="81">
        <f>I365</f>
        <v>3616034</v>
      </c>
      <c r="J364" s="137"/>
    </row>
    <row r="365" spans="1:18" ht="18.75" customHeight="1" x14ac:dyDescent="0.25">
      <c r="A365" s="78" t="s">
        <v>203</v>
      </c>
      <c r="B365" s="120">
        <v>792</v>
      </c>
      <c r="C365" s="79" t="s">
        <v>10</v>
      </c>
      <c r="D365" s="79" t="s">
        <v>14</v>
      </c>
      <c r="E365" s="79" t="s">
        <v>128</v>
      </c>
      <c r="F365" s="79" t="s">
        <v>202</v>
      </c>
      <c r="G365" s="70">
        <f>3700000+115000+12525-30-116539</f>
        <v>3710956</v>
      </c>
      <c r="H365" s="81">
        <f>3700000-50000-33629</f>
        <v>3616371</v>
      </c>
      <c r="I365" s="81">
        <f>3700000-50000-33966</f>
        <v>3616034</v>
      </c>
      <c r="J365" s="137"/>
    </row>
    <row r="366" spans="1:18" x14ac:dyDescent="0.25">
      <c r="A366" s="189" t="s">
        <v>84</v>
      </c>
      <c r="B366" s="131" t="s">
        <v>294</v>
      </c>
      <c r="C366" s="191" t="s">
        <v>48</v>
      </c>
      <c r="D366" s="191"/>
      <c r="E366" s="191"/>
      <c r="F366" s="191"/>
      <c r="G366" s="188">
        <f>G367</f>
        <v>162722</v>
      </c>
      <c r="H366" s="188">
        <f t="shared" ref="H366:I366" si="148">H367</f>
        <v>164349</v>
      </c>
      <c r="I366" s="188">
        <f t="shared" si="148"/>
        <v>165923</v>
      </c>
      <c r="J366" s="147"/>
    </row>
    <row r="367" spans="1:18" x14ac:dyDescent="0.25">
      <c r="A367" s="78" t="s">
        <v>85</v>
      </c>
      <c r="B367" s="120">
        <v>792</v>
      </c>
      <c r="C367" s="79" t="s">
        <v>48</v>
      </c>
      <c r="D367" s="79" t="s">
        <v>10</v>
      </c>
      <c r="E367" s="79"/>
      <c r="F367" s="79"/>
      <c r="G367" s="81">
        <f>G368</f>
        <v>162722</v>
      </c>
      <c r="H367" s="81">
        <f>H368</f>
        <v>164349</v>
      </c>
      <c r="I367" s="81">
        <f>I368</f>
        <v>165923</v>
      </c>
      <c r="J367" s="137"/>
    </row>
    <row r="368" spans="1:18" s="43" customFormat="1" ht="37.5" customHeight="1" x14ac:dyDescent="0.25">
      <c r="A368" s="16" t="s">
        <v>374</v>
      </c>
      <c r="B368" s="120">
        <v>792</v>
      </c>
      <c r="C368" s="79" t="s">
        <v>48</v>
      </c>
      <c r="D368" s="79" t="s">
        <v>10</v>
      </c>
      <c r="E368" s="79" t="s">
        <v>181</v>
      </c>
      <c r="F368" s="133"/>
      <c r="G368" s="81">
        <f t="shared" ref="G368:I370" si="149">G369</f>
        <v>162722</v>
      </c>
      <c r="H368" s="81">
        <f t="shared" si="149"/>
        <v>164349</v>
      </c>
      <c r="I368" s="81">
        <f t="shared" si="149"/>
        <v>165923</v>
      </c>
      <c r="J368" s="137"/>
      <c r="K368" s="165"/>
      <c r="L368" s="165"/>
      <c r="M368" s="165"/>
      <c r="N368" s="165"/>
      <c r="O368" s="165"/>
      <c r="P368" s="165"/>
      <c r="Q368" s="165"/>
      <c r="R368" s="165"/>
    </row>
    <row r="369" spans="1:18" s="43" customFormat="1" ht="52.8" x14ac:dyDescent="0.25">
      <c r="A369" s="78" t="s">
        <v>420</v>
      </c>
      <c r="B369" s="120">
        <v>792</v>
      </c>
      <c r="C369" s="79" t="s">
        <v>48</v>
      </c>
      <c r="D369" s="79" t="s">
        <v>10</v>
      </c>
      <c r="E369" s="79" t="s">
        <v>182</v>
      </c>
      <c r="F369" s="133"/>
      <c r="G369" s="81">
        <f t="shared" si="149"/>
        <v>162722</v>
      </c>
      <c r="H369" s="81">
        <f t="shared" si="149"/>
        <v>164349</v>
      </c>
      <c r="I369" s="81">
        <f t="shared" si="149"/>
        <v>165923</v>
      </c>
      <c r="J369" s="137"/>
      <c r="K369" s="165"/>
      <c r="L369" s="165"/>
      <c r="M369" s="165"/>
      <c r="N369" s="165"/>
      <c r="O369" s="165"/>
      <c r="P369" s="165"/>
      <c r="Q369" s="165"/>
      <c r="R369" s="165"/>
    </row>
    <row r="370" spans="1:18" s="43" customFormat="1" x14ac:dyDescent="0.25">
      <c r="A370" s="78" t="s">
        <v>86</v>
      </c>
      <c r="B370" s="120">
        <v>792</v>
      </c>
      <c r="C370" s="79" t="s">
        <v>48</v>
      </c>
      <c r="D370" s="79" t="s">
        <v>10</v>
      </c>
      <c r="E370" s="79" t="s">
        <v>182</v>
      </c>
      <c r="F370" s="79" t="s">
        <v>87</v>
      </c>
      <c r="G370" s="81">
        <f t="shared" si="149"/>
        <v>162722</v>
      </c>
      <c r="H370" s="81">
        <f t="shared" si="149"/>
        <v>164349</v>
      </c>
      <c r="I370" s="81">
        <f t="shared" si="149"/>
        <v>165923</v>
      </c>
      <c r="J370" s="137"/>
      <c r="K370" s="165"/>
      <c r="L370" s="165"/>
      <c r="M370" s="165"/>
      <c r="N370" s="165"/>
      <c r="O370" s="165"/>
      <c r="P370" s="165"/>
      <c r="Q370" s="165"/>
      <c r="R370" s="165"/>
    </row>
    <row r="371" spans="1:18" s="44" customFormat="1" ht="26.4" x14ac:dyDescent="0.25">
      <c r="A371" s="78" t="s">
        <v>221</v>
      </c>
      <c r="B371" s="120">
        <v>792</v>
      </c>
      <c r="C371" s="79" t="s">
        <v>48</v>
      </c>
      <c r="D371" s="79" t="s">
        <v>10</v>
      </c>
      <c r="E371" s="79" t="s">
        <v>182</v>
      </c>
      <c r="F371" s="79" t="s">
        <v>222</v>
      </c>
      <c r="G371" s="81">
        <v>162722</v>
      </c>
      <c r="H371" s="81">
        <v>164349</v>
      </c>
      <c r="I371" s="81">
        <v>165923</v>
      </c>
      <c r="J371" s="137"/>
      <c r="K371" s="166"/>
      <c r="L371" s="166"/>
      <c r="M371" s="166"/>
      <c r="N371" s="166"/>
      <c r="O371" s="166"/>
      <c r="P371" s="166"/>
      <c r="Q371" s="166"/>
      <c r="R371" s="166"/>
    </row>
    <row r="372" spans="1:18" ht="26.4" x14ac:dyDescent="0.25">
      <c r="A372" s="110" t="s">
        <v>189</v>
      </c>
      <c r="B372" s="192">
        <v>792</v>
      </c>
      <c r="C372" s="191" t="s">
        <v>14</v>
      </c>
      <c r="D372" s="191"/>
      <c r="E372" s="191"/>
      <c r="F372" s="191"/>
      <c r="G372" s="188">
        <f t="shared" ref="G372:G377" si="150">G373</f>
        <v>57698.63</v>
      </c>
      <c r="H372" s="188">
        <f t="shared" ref="H372:I377" si="151">H373</f>
        <v>37698.629999999997</v>
      </c>
      <c r="I372" s="188">
        <f t="shared" si="151"/>
        <v>10958.899999999994</v>
      </c>
      <c r="J372" s="147"/>
    </row>
    <row r="373" spans="1:18" ht="28.5" customHeight="1" x14ac:dyDescent="0.25">
      <c r="A373" s="111" t="s">
        <v>190</v>
      </c>
      <c r="B373" s="120">
        <v>792</v>
      </c>
      <c r="C373" s="79" t="s">
        <v>14</v>
      </c>
      <c r="D373" s="79" t="s">
        <v>10</v>
      </c>
      <c r="E373" s="126"/>
      <c r="F373" s="126"/>
      <c r="G373" s="81">
        <f t="shared" si="150"/>
        <v>57698.63</v>
      </c>
      <c r="H373" s="81">
        <f t="shared" si="151"/>
        <v>37698.629999999997</v>
      </c>
      <c r="I373" s="81">
        <f t="shared" si="151"/>
        <v>10958.899999999994</v>
      </c>
      <c r="J373" s="137"/>
    </row>
    <row r="374" spans="1:18" s="28" customFormat="1" ht="49.5" customHeight="1" x14ac:dyDescent="0.25">
      <c r="A374" s="16" t="s">
        <v>371</v>
      </c>
      <c r="B374" s="120">
        <v>792</v>
      </c>
      <c r="C374" s="79" t="s">
        <v>14</v>
      </c>
      <c r="D374" s="79" t="s">
        <v>10</v>
      </c>
      <c r="E374" s="79" t="s">
        <v>143</v>
      </c>
      <c r="F374" s="133"/>
      <c r="G374" s="81">
        <f t="shared" si="150"/>
        <v>57698.63</v>
      </c>
      <c r="H374" s="81">
        <f t="shared" si="151"/>
        <v>37698.629999999997</v>
      </c>
      <c r="I374" s="81">
        <f t="shared" si="151"/>
        <v>10958.899999999994</v>
      </c>
      <c r="J374" s="137"/>
      <c r="K374" s="156"/>
      <c r="L374" s="156"/>
      <c r="M374" s="156"/>
      <c r="N374" s="156"/>
      <c r="O374" s="156"/>
      <c r="P374" s="156"/>
      <c r="Q374" s="156"/>
      <c r="R374" s="156"/>
    </row>
    <row r="375" spans="1:18" s="28" customFormat="1" ht="45" customHeight="1" x14ac:dyDescent="0.25">
      <c r="A375" s="78" t="s">
        <v>382</v>
      </c>
      <c r="B375" s="120">
        <v>792</v>
      </c>
      <c r="C375" s="79" t="s">
        <v>14</v>
      </c>
      <c r="D375" s="79" t="s">
        <v>10</v>
      </c>
      <c r="E375" s="79" t="s">
        <v>148</v>
      </c>
      <c r="F375" s="133"/>
      <c r="G375" s="81">
        <f t="shared" si="150"/>
        <v>57698.63</v>
      </c>
      <c r="H375" s="81">
        <f t="shared" si="151"/>
        <v>37698.629999999997</v>
      </c>
      <c r="I375" s="81">
        <f t="shared" si="151"/>
        <v>10958.899999999994</v>
      </c>
      <c r="J375" s="137"/>
      <c r="K375" s="156"/>
      <c r="L375" s="156"/>
      <c r="M375" s="156"/>
      <c r="N375" s="156"/>
      <c r="O375" s="156"/>
      <c r="P375" s="156"/>
      <c r="Q375" s="156"/>
      <c r="R375" s="156"/>
    </row>
    <row r="376" spans="1:18" x14ac:dyDescent="0.25">
      <c r="A376" s="78" t="s">
        <v>191</v>
      </c>
      <c r="B376" s="120">
        <v>792</v>
      </c>
      <c r="C376" s="79" t="s">
        <v>14</v>
      </c>
      <c r="D376" s="79" t="s">
        <v>10</v>
      </c>
      <c r="E376" s="79" t="s">
        <v>149</v>
      </c>
      <c r="F376" s="79"/>
      <c r="G376" s="81">
        <f t="shared" si="150"/>
        <v>57698.63</v>
      </c>
      <c r="H376" s="81">
        <f t="shared" si="151"/>
        <v>37698.629999999997</v>
      </c>
      <c r="I376" s="81">
        <f t="shared" si="151"/>
        <v>10958.899999999994</v>
      </c>
      <c r="J376" s="137"/>
    </row>
    <row r="377" spans="1:18" ht="26.4" x14ac:dyDescent="0.25">
      <c r="A377" s="78" t="s">
        <v>192</v>
      </c>
      <c r="B377" s="120">
        <v>792</v>
      </c>
      <c r="C377" s="79" t="s">
        <v>14</v>
      </c>
      <c r="D377" s="79" t="s">
        <v>10</v>
      </c>
      <c r="E377" s="79" t="s">
        <v>149</v>
      </c>
      <c r="F377" s="79" t="s">
        <v>193</v>
      </c>
      <c r="G377" s="81">
        <f t="shared" si="150"/>
        <v>57698.63</v>
      </c>
      <c r="H377" s="81">
        <f t="shared" si="151"/>
        <v>37698.629999999997</v>
      </c>
      <c r="I377" s="81">
        <f t="shared" si="151"/>
        <v>10958.899999999994</v>
      </c>
      <c r="J377" s="137"/>
    </row>
    <row r="378" spans="1:18" x14ac:dyDescent="0.25">
      <c r="A378" s="78" t="s">
        <v>194</v>
      </c>
      <c r="B378" s="120">
        <v>792</v>
      </c>
      <c r="C378" s="79" t="s">
        <v>14</v>
      </c>
      <c r="D378" s="79" t="s">
        <v>10</v>
      </c>
      <c r="E378" s="79" t="s">
        <v>149</v>
      </c>
      <c r="F378" s="79" t="s">
        <v>195</v>
      </c>
      <c r="G378" s="81">
        <v>57698.63</v>
      </c>
      <c r="H378" s="81">
        <f>57698.63-20000</f>
        <v>37698.629999999997</v>
      </c>
      <c r="I378" s="81">
        <f>57698.63-46739.73</f>
        <v>10958.899999999994</v>
      </c>
      <c r="J378" s="137"/>
    </row>
    <row r="379" spans="1:18" s="106" customFormat="1" x14ac:dyDescent="0.25">
      <c r="A379" s="262" t="s">
        <v>53</v>
      </c>
      <c r="B379" s="258"/>
      <c r="C379" s="261"/>
      <c r="D379" s="261"/>
      <c r="E379" s="261"/>
      <c r="F379" s="261"/>
      <c r="G379" s="259">
        <f>G350+G366+G372</f>
        <v>19754856.440000001</v>
      </c>
      <c r="H379" s="259">
        <f t="shared" ref="H379:I379" si="152">H350+H366+H372</f>
        <v>19833450.629999999</v>
      </c>
      <c r="I379" s="259">
        <f t="shared" si="152"/>
        <v>20004933.899999999</v>
      </c>
      <c r="J379" s="148"/>
      <c r="K379" s="158"/>
      <c r="L379" s="158"/>
      <c r="M379" s="158"/>
      <c r="N379" s="158"/>
      <c r="O379" s="158"/>
      <c r="P379" s="158"/>
      <c r="Q379" s="158"/>
      <c r="R379" s="158"/>
    </row>
    <row r="380" spans="1:18" ht="51.75" customHeight="1" x14ac:dyDescent="0.25">
      <c r="A380" s="238" t="s">
        <v>409</v>
      </c>
      <c r="B380" s="239">
        <v>793</v>
      </c>
      <c r="C380" s="239"/>
      <c r="D380" s="239"/>
      <c r="E380" s="239"/>
      <c r="F380" s="239"/>
      <c r="G380" s="241"/>
      <c r="H380" s="241"/>
      <c r="I380" s="241"/>
      <c r="J380" s="199"/>
      <c r="K380" s="69"/>
      <c r="L380" s="69"/>
      <c r="M380" s="69"/>
      <c r="N380" s="69"/>
      <c r="O380" s="69"/>
      <c r="P380" s="69"/>
      <c r="Q380" s="69"/>
      <c r="R380" s="69"/>
    </row>
    <row r="381" spans="1:18" x14ac:dyDescent="0.25">
      <c r="A381" s="5" t="s">
        <v>9</v>
      </c>
      <c r="B381" s="19">
        <v>793</v>
      </c>
      <c r="C381" s="7" t="s">
        <v>10</v>
      </c>
      <c r="D381" s="7"/>
      <c r="E381" s="7"/>
      <c r="F381" s="7"/>
      <c r="G381" s="188">
        <f>G382+G388+G431+G436+G441</f>
        <v>133905331.09999999</v>
      </c>
      <c r="H381" s="188">
        <f t="shared" ref="H381:I381" si="153">H382+H388+H431+H436+H441</f>
        <v>135064068.47999999</v>
      </c>
      <c r="I381" s="188">
        <f t="shared" si="153"/>
        <v>136518174.59</v>
      </c>
      <c r="J381" s="208" t="e">
        <f>G387+G392+G397+G399+#REF!+#REF!+G405+G407+G415+G417+G420+G422+G425+G427+G430+G435+G440+G445+G448+G454+G464+#REF!+#REF!+G468+G479+G481+G483</f>
        <v>#REF!</v>
      </c>
      <c r="K381" s="69"/>
      <c r="L381" s="69"/>
      <c r="M381" s="69"/>
      <c r="N381" s="69"/>
      <c r="O381" s="69"/>
      <c r="P381" s="180"/>
      <c r="Q381" s="180"/>
      <c r="R381" s="69"/>
    </row>
    <row r="382" spans="1:18" ht="26.4" x14ac:dyDescent="0.25">
      <c r="A382" s="16" t="s">
        <v>197</v>
      </c>
      <c r="B382" s="14">
        <v>793</v>
      </c>
      <c r="C382" s="15" t="s">
        <v>10</v>
      </c>
      <c r="D382" s="15" t="s">
        <v>19</v>
      </c>
      <c r="E382" s="15"/>
      <c r="F382" s="15"/>
      <c r="G382" s="81">
        <f>G383</f>
        <v>2663729</v>
      </c>
      <c r="H382" s="81">
        <f t="shared" ref="H382:I382" si="154">H383</f>
        <v>2690366</v>
      </c>
      <c r="I382" s="81">
        <f t="shared" si="154"/>
        <v>2717270</v>
      </c>
      <c r="J382" s="136"/>
      <c r="K382" s="69"/>
      <c r="L382" s="69"/>
      <c r="M382" s="69"/>
      <c r="N382" s="69"/>
      <c r="O382" s="69"/>
      <c r="P382" s="69"/>
      <c r="Q382" s="69"/>
      <c r="R382" s="69"/>
    </row>
    <row r="383" spans="1:18" s="18" customFormat="1" ht="26.4" x14ac:dyDescent="0.25">
      <c r="A383" s="16" t="s">
        <v>400</v>
      </c>
      <c r="B383" s="14">
        <v>793</v>
      </c>
      <c r="C383" s="15" t="s">
        <v>10</v>
      </c>
      <c r="D383" s="15" t="s">
        <v>19</v>
      </c>
      <c r="E383" s="15" t="s">
        <v>150</v>
      </c>
      <c r="F383" s="15"/>
      <c r="G383" s="81">
        <f t="shared" ref="G383:I386" si="155">G384</f>
        <v>2663729</v>
      </c>
      <c r="H383" s="81">
        <f t="shared" si="155"/>
        <v>2690366</v>
      </c>
      <c r="I383" s="81">
        <f t="shared" si="155"/>
        <v>2717270</v>
      </c>
      <c r="J383" s="136"/>
      <c r="K383" s="141"/>
      <c r="L383" s="141"/>
      <c r="M383" s="141"/>
      <c r="N383" s="141"/>
      <c r="O383" s="141"/>
      <c r="P383" s="141"/>
      <c r="Q383" s="141"/>
      <c r="R383" s="141"/>
    </row>
    <row r="384" spans="1:18" x14ac:dyDescent="0.25">
      <c r="A384" s="16" t="s">
        <v>399</v>
      </c>
      <c r="B384" s="14">
        <v>793</v>
      </c>
      <c r="C384" s="15" t="s">
        <v>10</v>
      </c>
      <c r="D384" s="15" t="s">
        <v>19</v>
      </c>
      <c r="E384" s="15" t="s">
        <v>151</v>
      </c>
      <c r="F384" s="15"/>
      <c r="G384" s="81">
        <f>G385</f>
        <v>2663729</v>
      </c>
      <c r="H384" s="81">
        <f t="shared" si="155"/>
        <v>2690366</v>
      </c>
      <c r="I384" s="81">
        <f t="shared" si="155"/>
        <v>2717270</v>
      </c>
      <c r="J384" s="136"/>
      <c r="K384" s="69"/>
      <c r="L384" s="69"/>
      <c r="M384" s="69"/>
      <c r="N384" s="69"/>
      <c r="O384" s="69"/>
      <c r="P384" s="69"/>
      <c r="Q384" s="69"/>
      <c r="R384" s="69"/>
    </row>
    <row r="385" spans="1:18" ht="26.4" x14ac:dyDescent="0.25">
      <c r="A385" s="16" t="s">
        <v>55</v>
      </c>
      <c r="B385" s="14">
        <v>793</v>
      </c>
      <c r="C385" s="15" t="s">
        <v>10</v>
      </c>
      <c r="D385" s="15" t="s">
        <v>19</v>
      </c>
      <c r="E385" s="15" t="s">
        <v>152</v>
      </c>
      <c r="F385" s="15"/>
      <c r="G385" s="81">
        <f t="shared" si="155"/>
        <v>2663729</v>
      </c>
      <c r="H385" s="81">
        <f t="shared" si="155"/>
        <v>2690366</v>
      </c>
      <c r="I385" s="81">
        <f t="shared" si="155"/>
        <v>2717270</v>
      </c>
      <c r="J385" s="136"/>
      <c r="K385" s="69"/>
      <c r="L385" s="69"/>
      <c r="M385" s="69"/>
      <c r="N385" s="69"/>
      <c r="O385" s="69"/>
      <c r="P385" s="69"/>
      <c r="Q385" s="69"/>
      <c r="R385" s="69"/>
    </row>
    <row r="386" spans="1:18" ht="52.8" x14ac:dyDescent="0.25">
      <c r="A386" s="16" t="s">
        <v>198</v>
      </c>
      <c r="B386" s="14">
        <v>793</v>
      </c>
      <c r="C386" s="15" t="s">
        <v>10</v>
      </c>
      <c r="D386" s="15" t="s">
        <v>19</v>
      </c>
      <c r="E386" s="15" t="s">
        <v>152</v>
      </c>
      <c r="F386" s="15" t="s">
        <v>41</v>
      </c>
      <c r="G386" s="81">
        <f t="shared" si="155"/>
        <v>2663729</v>
      </c>
      <c r="H386" s="81">
        <f t="shared" si="155"/>
        <v>2690366</v>
      </c>
      <c r="I386" s="81">
        <f t="shared" si="155"/>
        <v>2717270</v>
      </c>
      <c r="J386" s="136"/>
      <c r="K386" s="69"/>
      <c r="L386" s="69"/>
      <c r="M386" s="69"/>
      <c r="N386" s="69"/>
      <c r="O386" s="69"/>
      <c r="P386" s="69"/>
      <c r="Q386" s="69"/>
      <c r="R386" s="69"/>
    </row>
    <row r="387" spans="1:18" ht="26.4" x14ac:dyDescent="0.25">
      <c r="A387" s="16" t="s">
        <v>40</v>
      </c>
      <c r="B387" s="14">
        <v>793</v>
      </c>
      <c r="C387" s="15" t="s">
        <v>10</v>
      </c>
      <c r="D387" s="15" t="s">
        <v>19</v>
      </c>
      <c r="E387" s="15" t="s">
        <v>152</v>
      </c>
      <c r="F387" s="15" t="s">
        <v>42</v>
      </c>
      <c r="G387" s="81">
        <f>2610454+53275</f>
        <v>2663729</v>
      </c>
      <c r="H387" s="81">
        <f>2770319-79953</f>
        <v>2690366</v>
      </c>
      <c r="I387" s="81">
        <f>2881144-163874</f>
        <v>2717270</v>
      </c>
      <c r="J387" s="136"/>
      <c r="K387" s="69"/>
      <c r="L387" s="69"/>
      <c r="M387" s="69"/>
      <c r="N387" s="69"/>
      <c r="O387" s="69"/>
      <c r="P387" s="69"/>
      <c r="Q387" s="69"/>
      <c r="R387" s="69"/>
    </row>
    <row r="388" spans="1:18" ht="52.8" x14ac:dyDescent="0.25">
      <c r="A388" s="16" t="s">
        <v>54</v>
      </c>
      <c r="B388" s="14">
        <v>793</v>
      </c>
      <c r="C388" s="15" t="s">
        <v>10</v>
      </c>
      <c r="D388" s="15" t="s">
        <v>38</v>
      </c>
      <c r="E388" s="15"/>
      <c r="F388" s="15"/>
      <c r="G388" s="81">
        <f>G389+G393</f>
        <v>99156717.939999998</v>
      </c>
      <c r="H388" s="81">
        <f t="shared" ref="H388:M388" si="156">H389+H393</f>
        <v>100789223.3</v>
      </c>
      <c r="I388" s="81">
        <f t="shared" si="156"/>
        <v>102357390.65000001</v>
      </c>
      <c r="J388" s="81">
        <f t="shared" si="156"/>
        <v>0</v>
      </c>
      <c r="K388" s="81">
        <f t="shared" si="156"/>
        <v>0</v>
      </c>
      <c r="L388" s="81">
        <f t="shared" si="156"/>
        <v>0</v>
      </c>
      <c r="M388" s="81">
        <f t="shared" si="156"/>
        <v>0</v>
      </c>
      <c r="N388" s="160"/>
      <c r="O388" s="69"/>
      <c r="P388" s="69"/>
      <c r="Q388" s="69"/>
      <c r="R388" s="69"/>
    </row>
    <row r="389" spans="1:18" ht="27" customHeight="1" x14ac:dyDescent="0.25">
      <c r="A389" s="222" t="s">
        <v>375</v>
      </c>
      <c r="B389" s="14">
        <v>793</v>
      </c>
      <c r="C389" s="15" t="s">
        <v>10</v>
      </c>
      <c r="D389" s="15" t="s">
        <v>38</v>
      </c>
      <c r="E389" s="14" t="s">
        <v>153</v>
      </c>
      <c r="F389" s="14"/>
      <c r="G389" s="81">
        <f>G392</f>
        <v>35000</v>
      </c>
      <c r="H389" s="81">
        <f>H392</f>
        <v>35000</v>
      </c>
      <c r="I389" s="81">
        <f>I392</f>
        <v>35000</v>
      </c>
      <c r="J389" s="137"/>
      <c r="N389" s="160"/>
      <c r="O389" s="69"/>
      <c r="P389" s="69"/>
      <c r="Q389" s="180"/>
      <c r="R389" s="69"/>
    </row>
    <row r="390" spans="1:18" ht="57.75" customHeight="1" x14ac:dyDescent="0.25">
      <c r="A390" s="207" t="s">
        <v>499</v>
      </c>
      <c r="B390" s="270">
        <v>793</v>
      </c>
      <c r="C390" s="15" t="s">
        <v>10</v>
      </c>
      <c r="D390" s="15" t="s">
        <v>38</v>
      </c>
      <c r="E390" s="15" t="s">
        <v>438</v>
      </c>
      <c r="F390" s="15"/>
      <c r="G390" s="81">
        <f t="shared" ref="G390:I391" si="157">G391</f>
        <v>35000</v>
      </c>
      <c r="H390" s="81">
        <f t="shared" si="157"/>
        <v>35000</v>
      </c>
      <c r="I390" s="81">
        <f t="shared" si="157"/>
        <v>35000</v>
      </c>
      <c r="J390" s="137"/>
      <c r="O390" s="69"/>
      <c r="P390" s="69"/>
      <c r="Q390" s="69"/>
      <c r="R390" s="69"/>
    </row>
    <row r="391" spans="1:18" ht="19.5" customHeight="1" x14ac:dyDescent="0.25">
      <c r="A391" s="220" t="s">
        <v>199</v>
      </c>
      <c r="B391" s="14">
        <v>793</v>
      </c>
      <c r="C391" s="15" t="s">
        <v>10</v>
      </c>
      <c r="D391" s="15" t="s">
        <v>38</v>
      </c>
      <c r="E391" s="15" t="s">
        <v>438</v>
      </c>
      <c r="F391" s="15" t="s">
        <v>26</v>
      </c>
      <c r="G391" s="81">
        <f t="shared" si="157"/>
        <v>35000</v>
      </c>
      <c r="H391" s="81">
        <f t="shared" si="157"/>
        <v>35000</v>
      </c>
      <c r="I391" s="81">
        <f t="shared" si="157"/>
        <v>35000</v>
      </c>
      <c r="J391" s="137"/>
      <c r="O391" s="69"/>
      <c r="P391" s="69"/>
      <c r="Q391" s="180"/>
      <c r="R391" s="69"/>
    </row>
    <row r="392" spans="1:18" ht="26.4" x14ac:dyDescent="0.25">
      <c r="A392" s="16" t="s">
        <v>27</v>
      </c>
      <c r="B392" s="14">
        <v>793</v>
      </c>
      <c r="C392" s="15" t="s">
        <v>10</v>
      </c>
      <c r="D392" s="15" t="s">
        <v>38</v>
      </c>
      <c r="E392" s="15" t="s">
        <v>438</v>
      </c>
      <c r="F392" s="15" t="s">
        <v>28</v>
      </c>
      <c r="G392" s="81">
        <v>35000</v>
      </c>
      <c r="H392" s="81">
        <v>35000</v>
      </c>
      <c r="I392" s="81">
        <v>35000</v>
      </c>
      <c r="J392" s="137"/>
      <c r="O392" s="69"/>
      <c r="P392" s="69"/>
      <c r="Q392" s="69"/>
      <c r="R392" s="69"/>
    </row>
    <row r="393" spans="1:18" s="46" customFormat="1" ht="26.4" x14ac:dyDescent="0.25">
      <c r="A393" s="16" t="s">
        <v>400</v>
      </c>
      <c r="B393" s="14">
        <v>793</v>
      </c>
      <c r="C393" s="15" t="s">
        <v>10</v>
      </c>
      <c r="D393" s="15" t="s">
        <v>38</v>
      </c>
      <c r="E393" s="15" t="s">
        <v>150</v>
      </c>
      <c r="F393" s="15"/>
      <c r="G393" s="81">
        <f>G394</f>
        <v>99121717.939999998</v>
      </c>
      <c r="H393" s="81">
        <f t="shared" ref="H393:I393" si="158">H394</f>
        <v>100754223.3</v>
      </c>
      <c r="I393" s="81">
        <f t="shared" si="158"/>
        <v>102322390.65000001</v>
      </c>
      <c r="J393" s="137"/>
      <c r="K393" s="168"/>
      <c r="L393" s="168"/>
      <c r="M393" s="168"/>
      <c r="N393" s="163"/>
      <c r="O393" s="58"/>
      <c r="P393" s="58"/>
      <c r="Q393" s="58"/>
      <c r="R393" s="58"/>
    </row>
    <row r="394" spans="1:18" s="46" customFormat="1" x14ac:dyDescent="0.25">
      <c r="A394" s="56" t="s">
        <v>401</v>
      </c>
      <c r="B394" s="14">
        <v>793</v>
      </c>
      <c r="C394" s="15" t="s">
        <v>10</v>
      </c>
      <c r="D394" s="15" t="s">
        <v>38</v>
      </c>
      <c r="E394" s="15" t="s">
        <v>154</v>
      </c>
      <c r="F394" s="15"/>
      <c r="G394" s="81">
        <f>G395+G402+G413+G423+G428</f>
        <v>99121717.939999998</v>
      </c>
      <c r="H394" s="81">
        <f t="shared" ref="H394:I394" si="159">H395+H402+H413+H423+H428</f>
        <v>100754223.3</v>
      </c>
      <c r="I394" s="81">
        <f t="shared" si="159"/>
        <v>102322390.65000001</v>
      </c>
      <c r="J394" s="81">
        <f t="shared" ref="J394:M394" si="160">J395+J401+J423+J428</f>
        <v>7738855.1600000001</v>
      </c>
      <c r="K394" s="81">
        <f t="shared" si="160"/>
        <v>8016833.0300000003</v>
      </c>
      <c r="L394" s="81">
        <f t="shared" si="160"/>
        <v>0</v>
      </c>
      <c r="M394" s="81">
        <f t="shared" si="160"/>
        <v>0</v>
      </c>
      <c r="N394" s="168"/>
      <c r="O394" s="58"/>
      <c r="P394" s="58"/>
      <c r="Q394" s="58"/>
      <c r="R394" s="58"/>
    </row>
    <row r="395" spans="1:18" s="46" customFormat="1" ht="26.4" x14ac:dyDescent="0.25">
      <c r="A395" s="16" t="s">
        <v>55</v>
      </c>
      <c r="B395" s="14">
        <v>793</v>
      </c>
      <c r="C395" s="15" t="s">
        <v>10</v>
      </c>
      <c r="D395" s="15" t="s">
        <v>38</v>
      </c>
      <c r="E395" s="15" t="s">
        <v>155</v>
      </c>
      <c r="F395" s="15"/>
      <c r="G395" s="81">
        <f>G396+G398+G400</f>
        <v>90807884</v>
      </c>
      <c r="H395" s="81">
        <f t="shared" ref="H395:I395" si="161">H396+H398+H400</f>
        <v>92144996</v>
      </c>
      <c r="I395" s="81">
        <f t="shared" si="161"/>
        <v>93405925</v>
      </c>
      <c r="J395" s="137"/>
      <c r="K395" s="168"/>
      <c r="L395" s="168"/>
      <c r="M395" s="168"/>
      <c r="N395" s="168"/>
      <c r="O395" s="58"/>
      <c r="P395" s="58"/>
      <c r="Q395" s="58"/>
      <c r="R395" s="58"/>
    </row>
    <row r="396" spans="1:18" s="46" customFormat="1" ht="52.8" x14ac:dyDescent="0.25">
      <c r="A396" s="16" t="s">
        <v>198</v>
      </c>
      <c r="B396" s="14">
        <v>793</v>
      </c>
      <c r="C396" s="15" t="s">
        <v>10</v>
      </c>
      <c r="D396" s="15" t="s">
        <v>38</v>
      </c>
      <c r="E396" s="15" t="s">
        <v>155</v>
      </c>
      <c r="F396" s="15" t="s">
        <v>41</v>
      </c>
      <c r="G396" s="81">
        <f>G397</f>
        <v>86686038</v>
      </c>
      <c r="H396" s="81">
        <f>H397</f>
        <v>87490860</v>
      </c>
      <c r="I396" s="81">
        <f>I397</f>
        <v>88479267</v>
      </c>
      <c r="J396" s="137"/>
      <c r="K396" s="168"/>
      <c r="L396" s="168"/>
      <c r="M396" s="168"/>
      <c r="N396" s="168"/>
      <c r="O396" s="58"/>
      <c r="P396" s="58"/>
      <c r="Q396" s="58"/>
      <c r="R396" s="58"/>
    </row>
    <row r="397" spans="1:18" s="46" customFormat="1" ht="26.4" x14ac:dyDescent="0.25">
      <c r="A397" s="16" t="s">
        <v>40</v>
      </c>
      <c r="B397" s="14">
        <v>793</v>
      </c>
      <c r="C397" s="15" t="s">
        <v>10</v>
      </c>
      <c r="D397" s="15" t="s">
        <v>38</v>
      </c>
      <c r="E397" s="15" t="s">
        <v>155</v>
      </c>
      <c r="F397" s="15" t="s">
        <v>42</v>
      </c>
      <c r="G397" s="81">
        <v>86686038</v>
      </c>
      <c r="H397" s="81">
        <v>87490860</v>
      </c>
      <c r="I397" s="81">
        <v>88479267</v>
      </c>
      <c r="J397" s="136"/>
      <c r="K397" s="58"/>
      <c r="L397" s="58"/>
      <c r="M397" s="58"/>
      <c r="N397" s="58"/>
      <c r="O397" s="58"/>
      <c r="P397" s="58"/>
      <c r="Q397" s="132"/>
      <c r="R397" s="58"/>
    </row>
    <row r="398" spans="1:18" s="46" customFormat="1" ht="34.5" customHeight="1" x14ac:dyDescent="0.25">
      <c r="A398" s="16" t="s">
        <v>199</v>
      </c>
      <c r="B398" s="14">
        <v>793</v>
      </c>
      <c r="C398" s="15" t="s">
        <v>10</v>
      </c>
      <c r="D398" s="15" t="s">
        <v>38</v>
      </c>
      <c r="E398" s="15" t="s">
        <v>155</v>
      </c>
      <c r="F398" s="15" t="s">
        <v>26</v>
      </c>
      <c r="G398" s="81">
        <f>G399</f>
        <v>3937600</v>
      </c>
      <c r="H398" s="81">
        <f>H399</f>
        <v>4654136</v>
      </c>
      <c r="I398" s="81">
        <f>I399</f>
        <v>4926658</v>
      </c>
      <c r="J398" s="136"/>
      <c r="K398" s="58"/>
      <c r="L398" s="58"/>
      <c r="M398" s="58"/>
      <c r="N398" s="58"/>
      <c r="O398" s="58"/>
      <c r="P398" s="58"/>
      <c r="Q398" s="58"/>
      <c r="R398" s="58"/>
    </row>
    <row r="399" spans="1:18" s="46" customFormat="1" ht="26.4" x14ac:dyDescent="0.25">
      <c r="A399" s="16" t="s">
        <v>27</v>
      </c>
      <c r="B399" s="14">
        <v>793</v>
      </c>
      <c r="C399" s="15" t="s">
        <v>10</v>
      </c>
      <c r="D399" s="15" t="s">
        <v>38</v>
      </c>
      <c r="E399" s="15" t="s">
        <v>155</v>
      </c>
      <c r="F399" s="15" t="s">
        <v>28</v>
      </c>
      <c r="G399" s="81">
        <v>3937600</v>
      </c>
      <c r="H399" s="81">
        <f>4574183+79953</f>
        <v>4654136</v>
      </c>
      <c r="I399" s="81">
        <f>4762784+163874</f>
        <v>4926658</v>
      </c>
      <c r="J399" s="136"/>
      <c r="K399" s="58"/>
      <c r="L399" s="58"/>
      <c r="M399" s="58"/>
      <c r="N399" s="58"/>
      <c r="O399" s="58"/>
      <c r="P399" s="58"/>
      <c r="Q399" s="58"/>
      <c r="R399" s="58"/>
    </row>
    <row r="400" spans="1:18" s="46" customFormat="1" ht="19.5" customHeight="1" x14ac:dyDescent="0.25">
      <c r="A400" s="16" t="s">
        <v>86</v>
      </c>
      <c r="B400" s="14">
        <v>793</v>
      </c>
      <c r="C400" s="15" t="s">
        <v>10</v>
      </c>
      <c r="D400" s="15" t="s">
        <v>38</v>
      </c>
      <c r="E400" s="15" t="s">
        <v>155</v>
      </c>
      <c r="F400" s="223" t="s">
        <v>87</v>
      </c>
      <c r="G400" s="249">
        <f>G401</f>
        <v>184246</v>
      </c>
      <c r="H400" s="249">
        <f t="shared" ref="H400:I400" si="162">H401</f>
        <v>0</v>
      </c>
      <c r="I400" s="249">
        <f t="shared" si="162"/>
        <v>0</v>
      </c>
      <c r="J400" s="136"/>
      <c r="K400" s="58"/>
      <c r="L400" s="58"/>
      <c r="M400" s="58"/>
      <c r="N400" s="58"/>
      <c r="O400" s="58"/>
      <c r="P400" s="58"/>
      <c r="Q400" s="58"/>
      <c r="R400" s="58"/>
    </row>
    <row r="401" spans="1:18" s="46" customFormat="1" ht="26.4" x14ac:dyDescent="0.25">
      <c r="A401" s="16" t="s">
        <v>88</v>
      </c>
      <c r="B401" s="14">
        <v>793</v>
      </c>
      <c r="C401" s="15" t="s">
        <v>10</v>
      </c>
      <c r="D401" s="15" t="s">
        <v>38</v>
      </c>
      <c r="E401" s="15" t="s">
        <v>155</v>
      </c>
      <c r="F401" s="223" t="s">
        <v>521</v>
      </c>
      <c r="G401" s="249">
        <v>184246</v>
      </c>
      <c r="H401" s="249"/>
      <c r="I401" s="249"/>
      <c r="J401" s="136"/>
      <c r="K401" s="58"/>
      <c r="L401" s="58"/>
      <c r="M401" s="58"/>
      <c r="N401" s="58"/>
      <c r="O401" s="58"/>
      <c r="P401" s="58"/>
      <c r="Q401" s="58"/>
      <c r="R401" s="58"/>
    </row>
    <row r="402" spans="1:18" s="3" customFormat="1" ht="39.75" customHeight="1" x14ac:dyDescent="0.25">
      <c r="A402" s="281" t="s">
        <v>449</v>
      </c>
      <c r="B402" s="120">
        <v>793</v>
      </c>
      <c r="C402" s="79" t="s">
        <v>10</v>
      </c>
      <c r="D402" s="79" t="s">
        <v>38</v>
      </c>
      <c r="E402" s="79" t="s">
        <v>506</v>
      </c>
      <c r="F402" s="79"/>
      <c r="G402" s="81">
        <f>G403+G408</f>
        <v>2836611.31</v>
      </c>
      <c r="H402" s="81">
        <f t="shared" ref="H402" si="163">H403+H408</f>
        <v>2935075.76</v>
      </c>
      <c r="I402" s="81">
        <f>I403+I408</f>
        <v>3037488.55</v>
      </c>
      <c r="J402" s="70">
        <v>1820907.1</v>
      </c>
      <c r="K402" s="70">
        <v>1886313.66</v>
      </c>
      <c r="L402" s="62"/>
      <c r="M402" s="62"/>
      <c r="N402" s="63"/>
      <c r="O402" s="63"/>
      <c r="P402" s="63"/>
      <c r="Q402" s="62"/>
      <c r="R402" s="62"/>
    </row>
    <row r="403" spans="1:18" s="3" customFormat="1" ht="82.5" customHeight="1" x14ac:dyDescent="0.25">
      <c r="A403" s="195" t="s">
        <v>505</v>
      </c>
      <c r="B403" s="120">
        <v>793</v>
      </c>
      <c r="C403" s="79" t="s">
        <v>10</v>
      </c>
      <c r="D403" s="79" t="s">
        <v>38</v>
      </c>
      <c r="E403" s="79" t="s">
        <v>494</v>
      </c>
      <c r="F403" s="79"/>
      <c r="G403" s="81">
        <f>G404+G406</f>
        <v>1947428.31</v>
      </c>
      <c r="H403" s="81">
        <f t="shared" ref="H403:I403" si="164">H404+H406</f>
        <v>1886717.18</v>
      </c>
      <c r="I403" s="81">
        <f t="shared" si="164"/>
        <v>1954992.37</v>
      </c>
      <c r="J403" s="70"/>
      <c r="K403" s="70"/>
      <c r="L403" s="62"/>
      <c r="M403" s="62"/>
      <c r="N403" s="63"/>
      <c r="O403" s="63"/>
      <c r="P403" s="63"/>
      <c r="Q403" s="62"/>
      <c r="R403" s="62"/>
    </row>
    <row r="404" spans="1:18" s="3" customFormat="1" ht="52.8" x14ac:dyDescent="0.25">
      <c r="A404" s="78" t="s">
        <v>198</v>
      </c>
      <c r="B404" s="120">
        <v>793</v>
      </c>
      <c r="C404" s="79" t="s">
        <v>10</v>
      </c>
      <c r="D404" s="79" t="s">
        <v>38</v>
      </c>
      <c r="E404" s="79" t="s">
        <v>494</v>
      </c>
      <c r="F404" s="79" t="s">
        <v>41</v>
      </c>
      <c r="G404" s="81">
        <f>G405</f>
        <v>1904328</v>
      </c>
      <c r="H404" s="81">
        <f>H405</f>
        <v>1824717</v>
      </c>
      <c r="I404" s="81">
        <f>I405</f>
        <v>1892992</v>
      </c>
      <c r="J404" s="70">
        <f>H402+H413+H418</f>
        <v>8123548</v>
      </c>
      <c r="K404" s="70">
        <f>I402+I413+I418</f>
        <v>8413717.5599999987</v>
      </c>
      <c r="L404" s="62"/>
      <c r="M404" s="62"/>
      <c r="N404" s="62"/>
      <c r="O404" s="62"/>
      <c r="P404" s="62"/>
      <c r="Q404" s="62"/>
      <c r="R404" s="62"/>
    </row>
    <row r="405" spans="1:18" s="3" customFormat="1" ht="26.4" x14ac:dyDescent="0.25">
      <c r="A405" s="78" t="s">
        <v>40</v>
      </c>
      <c r="B405" s="120">
        <v>793</v>
      </c>
      <c r="C405" s="79" t="s">
        <v>10</v>
      </c>
      <c r="D405" s="79" t="s">
        <v>38</v>
      </c>
      <c r="E405" s="79" t="s">
        <v>494</v>
      </c>
      <c r="F405" s="79" t="s">
        <v>42</v>
      </c>
      <c r="G405" s="81">
        <v>1904328</v>
      </c>
      <c r="H405" s="81">
        <v>1824717</v>
      </c>
      <c r="I405" s="81">
        <v>1892992</v>
      </c>
      <c r="J405" s="103">
        <f>H402-J402</f>
        <v>1114168.6599999997</v>
      </c>
      <c r="K405" s="103">
        <f>I402-K402</f>
        <v>1151174.8899999999</v>
      </c>
      <c r="L405" s="63"/>
      <c r="M405" s="62"/>
      <c r="N405" s="63"/>
      <c r="O405" s="63"/>
      <c r="P405" s="63"/>
      <c r="Q405" s="62"/>
      <c r="R405" s="62"/>
    </row>
    <row r="406" spans="1:18" s="3" customFormat="1" ht="20.25" customHeight="1" x14ac:dyDescent="0.25">
      <c r="A406" s="78" t="s">
        <v>199</v>
      </c>
      <c r="B406" s="120">
        <v>793</v>
      </c>
      <c r="C406" s="79" t="s">
        <v>10</v>
      </c>
      <c r="D406" s="79" t="s">
        <v>38</v>
      </c>
      <c r="E406" s="79" t="s">
        <v>494</v>
      </c>
      <c r="F406" s="79" t="s">
        <v>26</v>
      </c>
      <c r="G406" s="81">
        <f>G407</f>
        <v>43100.31</v>
      </c>
      <c r="H406" s="81">
        <f>H407</f>
        <v>62000.18</v>
      </c>
      <c r="I406" s="81">
        <f>I407</f>
        <v>62000.37</v>
      </c>
      <c r="J406" s="70"/>
      <c r="K406" s="104"/>
      <c r="L406" s="62"/>
      <c r="M406" s="62"/>
      <c r="N406" s="62"/>
      <c r="O406" s="62"/>
      <c r="P406" s="62"/>
      <c r="Q406" s="62"/>
      <c r="R406" s="62"/>
    </row>
    <row r="407" spans="1:18" s="3" customFormat="1" ht="26.4" x14ac:dyDescent="0.25">
      <c r="A407" s="78" t="s">
        <v>27</v>
      </c>
      <c r="B407" s="120">
        <v>793</v>
      </c>
      <c r="C407" s="79" t="s">
        <v>10</v>
      </c>
      <c r="D407" s="79" t="s">
        <v>38</v>
      </c>
      <c r="E407" s="79" t="s">
        <v>494</v>
      </c>
      <c r="F407" s="79" t="s">
        <v>28</v>
      </c>
      <c r="G407" s="81">
        <v>43100.31</v>
      </c>
      <c r="H407" s="81">
        <v>62000.18</v>
      </c>
      <c r="I407" s="81">
        <v>62000.37</v>
      </c>
      <c r="J407" s="70"/>
      <c r="K407" s="104"/>
      <c r="L407" s="62"/>
      <c r="M407" s="62"/>
      <c r="N407" s="62"/>
      <c r="O407" s="62"/>
      <c r="P407" s="62"/>
      <c r="Q407" s="62"/>
      <c r="R407" s="62"/>
    </row>
    <row r="408" spans="1:18" s="3" customFormat="1" ht="66" customHeight="1" x14ac:dyDescent="0.25">
      <c r="A408" s="281" t="s">
        <v>287</v>
      </c>
      <c r="B408" s="120">
        <v>793</v>
      </c>
      <c r="C408" s="79" t="s">
        <v>10</v>
      </c>
      <c r="D408" s="79" t="s">
        <v>38</v>
      </c>
      <c r="E408" s="79" t="s">
        <v>507</v>
      </c>
      <c r="F408" s="79"/>
      <c r="G408" s="81">
        <f>G409+G411</f>
        <v>889183</v>
      </c>
      <c r="H408" s="81">
        <f t="shared" ref="H408:I408" si="165">H409+H411</f>
        <v>1048358.58</v>
      </c>
      <c r="I408" s="81">
        <f t="shared" si="165"/>
        <v>1082496.18</v>
      </c>
      <c r="J408" s="70"/>
      <c r="K408" s="70"/>
      <c r="L408" s="62"/>
      <c r="M408" s="62"/>
      <c r="N408" s="63"/>
      <c r="O408" s="63"/>
      <c r="P408" s="63"/>
      <c r="Q408" s="62"/>
      <c r="R408" s="62"/>
    </row>
    <row r="409" spans="1:18" s="3" customFormat="1" ht="52.8" x14ac:dyDescent="0.25">
      <c r="A409" s="78" t="s">
        <v>198</v>
      </c>
      <c r="B409" s="120">
        <v>793</v>
      </c>
      <c r="C409" s="79" t="s">
        <v>10</v>
      </c>
      <c r="D409" s="79" t="s">
        <v>38</v>
      </c>
      <c r="E409" s="79" t="s">
        <v>507</v>
      </c>
      <c r="F409" s="79" t="s">
        <v>41</v>
      </c>
      <c r="G409" s="81">
        <f>G410</f>
        <v>854183</v>
      </c>
      <c r="H409" s="81">
        <f t="shared" ref="H409:I409" si="166">H410</f>
        <v>978358</v>
      </c>
      <c r="I409" s="81">
        <f t="shared" si="166"/>
        <v>1007496</v>
      </c>
      <c r="J409" s="70">
        <f>H407+H418+H423</f>
        <v>533679.48</v>
      </c>
      <c r="K409" s="70">
        <f>I407+I418+I423</f>
        <v>550748.46000000008</v>
      </c>
      <c r="L409" s="62"/>
      <c r="M409" s="62"/>
      <c r="N409" s="62"/>
      <c r="O409" s="62"/>
      <c r="P409" s="62"/>
      <c r="Q409" s="62"/>
      <c r="R409" s="62"/>
    </row>
    <row r="410" spans="1:18" s="3" customFormat="1" ht="26.4" x14ac:dyDescent="0.25">
      <c r="A410" s="78" t="s">
        <v>40</v>
      </c>
      <c r="B410" s="120">
        <v>793</v>
      </c>
      <c r="C410" s="79" t="s">
        <v>10</v>
      </c>
      <c r="D410" s="79" t="s">
        <v>38</v>
      </c>
      <c r="E410" s="79" t="s">
        <v>507</v>
      </c>
      <c r="F410" s="79" t="s">
        <v>42</v>
      </c>
      <c r="G410" s="81">
        <v>854183</v>
      </c>
      <c r="H410" s="81">
        <v>978358</v>
      </c>
      <c r="I410" s="81">
        <v>1007496</v>
      </c>
      <c r="J410" s="103">
        <f>H407-J407</f>
        <v>62000.18</v>
      </c>
      <c r="K410" s="103">
        <f>I407-K407</f>
        <v>62000.37</v>
      </c>
      <c r="L410" s="63"/>
      <c r="M410" s="62"/>
      <c r="N410" s="63"/>
      <c r="O410" s="63"/>
      <c r="P410" s="63"/>
      <c r="Q410" s="62"/>
      <c r="R410" s="62"/>
    </row>
    <row r="411" spans="1:18" s="3" customFormat="1" ht="20.25" customHeight="1" x14ac:dyDescent="0.25">
      <c r="A411" s="78" t="s">
        <v>199</v>
      </c>
      <c r="B411" s="120">
        <v>793</v>
      </c>
      <c r="C411" s="79" t="s">
        <v>10</v>
      </c>
      <c r="D411" s="79" t="s">
        <v>38</v>
      </c>
      <c r="E411" s="79" t="s">
        <v>507</v>
      </c>
      <c r="F411" s="79" t="s">
        <v>26</v>
      </c>
      <c r="G411" s="81">
        <f>G412</f>
        <v>35000</v>
      </c>
      <c r="H411" s="81">
        <f>H412</f>
        <v>70000.58</v>
      </c>
      <c r="I411" s="81">
        <f>I412</f>
        <v>75000.179999999993</v>
      </c>
      <c r="J411" s="70"/>
      <c r="K411" s="104"/>
      <c r="L411" s="62"/>
      <c r="M411" s="62"/>
      <c r="N411" s="62"/>
      <c r="O411" s="62"/>
      <c r="P411" s="62"/>
      <c r="Q411" s="62"/>
      <c r="R411" s="62"/>
    </row>
    <row r="412" spans="1:18" s="3" customFormat="1" ht="26.4" x14ac:dyDescent="0.25">
      <c r="A412" s="78" t="s">
        <v>27</v>
      </c>
      <c r="B412" s="120">
        <v>793</v>
      </c>
      <c r="C412" s="79" t="s">
        <v>10</v>
      </c>
      <c r="D412" s="79" t="s">
        <v>38</v>
      </c>
      <c r="E412" s="79" t="s">
        <v>507</v>
      </c>
      <c r="F412" s="79" t="s">
        <v>28</v>
      </c>
      <c r="G412" s="81">
        <v>35000</v>
      </c>
      <c r="H412" s="81">
        <v>70000.58</v>
      </c>
      <c r="I412" s="81">
        <v>75000.179999999993</v>
      </c>
      <c r="J412" s="70"/>
      <c r="K412" s="104"/>
      <c r="L412" s="62"/>
      <c r="M412" s="62"/>
      <c r="N412" s="62"/>
      <c r="O412" s="62"/>
      <c r="P412" s="62"/>
      <c r="Q412" s="62"/>
      <c r="R412" s="62"/>
    </row>
    <row r="413" spans="1:18" s="46" customFormat="1" ht="71.25" customHeight="1" x14ac:dyDescent="0.25">
      <c r="A413" s="281" t="s">
        <v>493</v>
      </c>
      <c r="B413" s="120">
        <v>793</v>
      </c>
      <c r="C413" s="79" t="s">
        <v>10</v>
      </c>
      <c r="D413" s="79" t="s">
        <v>38</v>
      </c>
      <c r="E413" s="79" t="s">
        <v>508</v>
      </c>
      <c r="F413" s="79"/>
      <c r="G413" s="81">
        <f>G414+G416</f>
        <v>5007954.08</v>
      </c>
      <c r="H413" s="81">
        <f t="shared" ref="H413:I413" si="167">H414+H416</f>
        <v>5188472.24</v>
      </c>
      <c r="I413" s="81">
        <f t="shared" si="167"/>
        <v>5376229.0099999998</v>
      </c>
      <c r="J413" s="70"/>
      <c r="K413" s="224"/>
      <c r="L413" s="58"/>
      <c r="M413" s="58"/>
      <c r="N413" s="58"/>
      <c r="O413" s="58"/>
      <c r="P413" s="58"/>
      <c r="Q413" s="58"/>
      <c r="R413" s="58"/>
    </row>
    <row r="414" spans="1:18" s="3" customFormat="1" ht="52.8" x14ac:dyDescent="0.25">
      <c r="A414" s="78" t="s">
        <v>198</v>
      </c>
      <c r="B414" s="120">
        <v>793</v>
      </c>
      <c r="C414" s="79" t="s">
        <v>10</v>
      </c>
      <c r="D414" s="79" t="s">
        <v>38</v>
      </c>
      <c r="E414" s="79" t="s">
        <v>508</v>
      </c>
      <c r="F414" s="79" t="s">
        <v>41</v>
      </c>
      <c r="G414" s="81">
        <f>G415</f>
        <v>4885354</v>
      </c>
      <c r="H414" s="81">
        <f>H415</f>
        <v>5038472</v>
      </c>
      <c r="I414" s="81">
        <f>I415</f>
        <v>5226229</v>
      </c>
      <c r="J414" s="70"/>
      <c r="K414" s="104"/>
      <c r="L414" s="62"/>
      <c r="M414" s="62"/>
      <c r="N414" s="62"/>
      <c r="O414" s="62"/>
      <c r="P414" s="62"/>
      <c r="Q414" s="62"/>
      <c r="R414" s="62"/>
    </row>
    <row r="415" spans="1:18" s="3" customFormat="1" ht="26.4" x14ac:dyDescent="0.25">
      <c r="A415" s="78" t="s">
        <v>40</v>
      </c>
      <c r="B415" s="120">
        <v>793</v>
      </c>
      <c r="C415" s="79" t="s">
        <v>10</v>
      </c>
      <c r="D415" s="79" t="s">
        <v>38</v>
      </c>
      <c r="E415" s="79" t="s">
        <v>508</v>
      </c>
      <c r="F415" s="79" t="s">
        <v>42</v>
      </c>
      <c r="G415" s="81">
        <v>4885354</v>
      </c>
      <c r="H415" s="81">
        <v>5038472</v>
      </c>
      <c r="I415" s="81">
        <v>5226229</v>
      </c>
      <c r="J415" s="70">
        <v>5917948.0599999996</v>
      </c>
      <c r="K415" s="70">
        <v>6130519.3700000001</v>
      </c>
      <c r="L415" s="62"/>
      <c r="M415" s="63"/>
      <c r="N415" s="62"/>
      <c r="O415" s="62"/>
      <c r="P415" s="62"/>
      <c r="Q415" s="62"/>
      <c r="R415" s="62"/>
    </row>
    <row r="416" spans="1:18" s="3" customFormat="1" ht="21.75" customHeight="1" x14ac:dyDescent="0.25">
      <c r="A416" s="78" t="s">
        <v>199</v>
      </c>
      <c r="B416" s="120">
        <v>793</v>
      </c>
      <c r="C416" s="79" t="s">
        <v>10</v>
      </c>
      <c r="D416" s="79" t="s">
        <v>38</v>
      </c>
      <c r="E416" s="79" t="s">
        <v>508</v>
      </c>
      <c r="F416" s="79" t="s">
        <v>26</v>
      </c>
      <c r="G416" s="81">
        <f>G417</f>
        <v>122600.08</v>
      </c>
      <c r="H416" s="81">
        <f>H417</f>
        <v>150000.24</v>
      </c>
      <c r="I416" s="81">
        <f>I417</f>
        <v>150000.01</v>
      </c>
      <c r="J416" s="70">
        <f>H413-J415</f>
        <v>-729475.81999999937</v>
      </c>
      <c r="K416" s="103">
        <f>I413-K415</f>
        <v>-754290.36000000034</v>
      </c>
      <c r="L416" s="62"/>
      <c r="M416" s="62"/>
      <c r="N416" s="62"/>
      <c r="O416" s="62"/>
      <c r="P416" s="62"/>
      <c r="Q416" s="62"/>
      <c r="R416" s="62"/>
    </row>
    <row r="417" spans="1:18" s="3" customFormat="1" ht="26.4" x14ac:dyDescent="0.25">
      <c r="A417" s="78" t="s">
        <v>27</v>
      </c>
      <c r="B417" s="120">
        <v>793</v>
      </c>
      <c r="C417" s="79" t="s">
        <v>10</v>
      </c>
      <c r="D417" s="79" t="s">
        <v>38</v>
      </c>
      <c r="E417" s="79" t="s">
        <v>508</v>
      </c>
      <c r="F417" s="79" t="s">
        <v>28</v>
      </c>
      <c r="G417" s="81">
        <v>122600.08</v>
      </c>
      <c r="H417" s="81">
        <v>150000.24</v>
      </c>
      <c r="I417" s="81">
        <v>150000.01</v>
      </c>
      <c r="J417" s="70"/>
      <c r="K417" s="104"/>
      <c r="L417" s="62"/>
      <c r="M417" s="62"/>
      <c r="N417" s="62"/>
      <c r="O417" s="62"/>
      <c r="P417" s="62"/>
      <c r="Q417" s="62"/>
      <c r="R417" s="62"/>
    </row>
    <row r="418" spans="1:18" s="3" customFormat="1" ht="61.5" hidden="1" customHeight="1" x14ac:dyDescent="0.25">
      <c r="A418" s="281"/>
      <c r="B418" s="120"/>
      <c r="C418" s="79"/>
      <c r="D418" s="79"/>
      <c r="E418" s="79"/>
      <c r="F418" s="79"/>
      <c r="G418" s="81"/>
      <c r="H418" s="81"/>
      <c r="I418" s="81"/>
      <c r="J418" s="70"/>
      <c r="K418" s="104"/>
      <c r="L418" s="62"/>
      <c r="M418" s="62"/>
      <c r="N418" s="62"/>
      <c r="O418" s="62"/>
      <c r="P418" s="62"/>
      <c r="Q418" s="62"/>
      <c r="R418" s="62"/>
    </row>
    <row r="419" spans="1:18" s="3" customFormat="1" hidden="1" x14ac:dyDescent="0.25">
      <c r="A419" s="78"/>
      <c r="B419" s="120"/>
      <c r="C419" s="79"/>
      <c r="D419" s="79"/>
      <c r="E419" s="79"/>
      <c r="F419" s="79"/>
      <c r="G419" s="81"/>
      <c r="H419" s="81"/>
      <c r="I419" s="81"/>
      <c r="J419" s="70"/>
      <c r="K419" s="104"/>
      <c r="L419" s="62"/>
      <c r="M419" s="62"/>
      <c r="N419" s="62"/>
      <c r="O419" s="62"/>
      <c r="P419" s="62"/>
      <c r="Q419" s="62"/>
      <c r="R419" s="62"/>
    </row>
    <row r="420" spans="1:18" s="3" customFormat="1" hidden="1" x14ac:dyDescent="0.25">
      <c r="A420" s="78"/>
      <c r="B420" s="120"/>
      <c r="C420" s="79"/>
      <c r="D420" s="79"/>
      <c r="E420" s="79"/>
      <c r="F420" s="79"/>
      <c r="G420" s="81"/>
      <c r="H420" s="81"/>
      <c r="I420" s="81"/>
      <c r="J420" s="70"/>
      <c r="K420" s="70"/>
      <c r="L420" s="62"/>
      <c r="M420" s="63"/>
      <c r="N420" s="62"/>
      <c r="O420" s="62"/>
      <c r="P420" s="62"/>
      <c r="Q420" s="62"/>
      <c r="R420" s="62"/>
    </row>
    <row r="421" spans="1:18" s="3" customFormat="1" ht="21.75" hidden="1" customHeight="1" x14ac:dyDescent="0.25">
      <c r="A421" s="78"/>
      <c r="B421" s="120"/>
      <c r="C421" s="79"/>
      <c r="D421" s="79"/>
      <c r="E421" s="79"/>
      <c r="F421" s="79"/>
      <c r="G421" s="81"/>
      <c r="H421" s="81"/>
      <c r="I421" s="81"/>
      <c r="J421" s="70"/>
      <c r="K421" s="103"/>
      <c r="L421" s="62"/>
      <c r="M421" s="62"/>
      <c r="N421" s="62"/>
      <c r="O421" s="62"/>
      <c r="P421" s="62"/>
      <c r="Q421" s="62"/>
      <c r="R421" s="62"/>
    </row>
    <row r="422" spans="1:18" s="3" customFormat="1" hidden="1" x14ac:dyDescent="0.25">
      <c r="A422" s="78"/>
      <c r="B422" s="120"/>
      <c r="C422" s="79"/>
      <c r="D422" s="79"/>
      <c r="E422" s="79"/>
      <c r="F422" s="79"/>
      <c r="G422" s="81"/>
      <c r="H422" s="81"/>
      <c r="I422" s="81"/>
      <c r="J422" s="70"/>
      <c r="K422" s="104"/>
      <c r="L422" s="62"/>
      <c r="M422" s="62"/>
      <c r="N422" s="62"/>
      <c r="O422" s="62"/>
      <c r="P422" s="62"/>
      <c r="Q422" s="62"/>
      <c r="R422" s="62"/>
    </row>
    <row r="423" spans="1:18" ht="57" customHeight="1" x14ac:dyDescent="0.25">
      <c r="A423" s="281" t="s">
        <v>500</v>
      </c>
      <c r="B423" s="120">
        <v>793</v>
      </c>
      <c r="C423" s="79" t="s">
        <v>10</v>
      </c>
      <c r="D423" s="79" t="s">
        <v>38</v>
      </c>
      <c r="E423" s="79" t="s">
        <v>441</v>
      </c>
      <c r="F423" s="79"/>
      <c r="G423" s="81">
        <f>G424+G426</f>
        <v>455268.55</v>
      </c>
      <c r="H423" s="81">
        <f>H424+H426</f>
        <v>471679.3</v>
      </c>
      <c r="I423" s="81">
        <f>I424+I426</f>
        <v>488748.09</v>
      </c>
      <c r="J423" s="70">
        <f>J402+J415+J420</f>
        <v>7738855.1600000001</v>
      </c>
      <c r="K423" s="70">
        <f>K402+K415+K420</f>
        <v>8016833.0300000003</v>
      </c>
      <c r="L423" s="69"/>
      <c r="M423" s="69"/>
      <c r="N423" s="69"/>
      <c r="O423" s="69"/>
      <c r="P423" s="69"/>
      <c r="Q423" s="69"/>
      <c r="R423" s="69"/>
    </row>
    <row r="424" spans="1:18" s="3" customFormat="1" ht="57.75" customHeight="1" x14ac:dyDescent="0.25">
      <c r="A424" s="282" t="s">
        <v>198</v>
      </c>
      <c r="B424" s="283">
        <v>793</v>
      </c>
      <c r="C424" s="284" t="s">
        <v>10</v>
      </c>
      <c r="D424" s="284" t="s">
        <v>38</v>
      </c>
      <c r="E424" s="79" t="s">
        <v>441</v>
      </c>
      <c r="F424" s="284" t="s">
        <v>41</v>
      </c>
      <c r="G424" s="285">
        <f>G425</f>
        <v>433852.55</v>
      </c>
      <c r="H424" s="285">
        <f>H425</f>
        <v>449479.3</v>
      </c>
      <c r="I424" s="285">
        <f>I425</f>
        <v>465948.09</v>
      </c>
      <c r="J424" s="136">
        <f>H402+H413+H418-J423</f>
        <v>384692.83999999985</v>
      </c>
      <c r="K424" s="63">
        <f>I402+I413+I418-K423</f>
        <v>396884.5299999984</v>
      </c>
      <c r="L424" s="62"/>
      <c r="M424" s="62"/>
      <c r="N424" s="62"/>
      <c r="O424" s="62"/>
      <c r="P424" s="62"/>
      <c r="Q424" s="62"/>
      <c r="R424" s="62"/>
    </row>
    <row r="425" spans="1:18" s="3" customFormat="1" ht="31.5" customHeight="1" x14ac:dyDescent="0.25">
      <c r="A425" s="78" t="s">
        <v>40</v>
      </c>
      <c r="B425" s="120">
        <v>793</v>
      </c>
      <c r="C425" s="79" t="s">
        <v>10</v>
      </c>
      <c r="D425" s="79" t="s">
        <v>38</v>
      </c>
      <c r="E425" s="79" t="s">
        <v>441</v>
      </c>
      <c r="F425" s="79" t="s">
        <v>42</v>
      </c>
      <c r="G425" s="81">
        <f>455268.55-21416</f>
        <v>433852.55</v>
      </c>
      <c r="H425" s="81">
        <f>471679.3-22200</f>
        <v>449479.3</v>
      </c>
      <c r="I425" s="81">
        <f>488748.09-22800</f>
        <v>465948.09</v>
      </c>
      <c r="J425" s="136"/>
      <c r="K425" s="62"/>
      <c r="L425" s="62"/>
      <c r="M425" s="62"/>
      <c r="N425" s="62"/>
      <c r="O425" s="62"/>
      <c r="P425" s="62"/>
      <c r="Q425" s="62"/>
      <c r="R425" s="62"/>
    </row>
    <row r="426" spans="1:18" ht="19.5" customHeight="1" x14ac:dyDescent="0.25">
      <c r="A426" s="78" t="s">
        <v>199</v>
      </c>
      <c r="B426" s="120">
        <v>793</v>
      </c>
      <c r="C426" s="79" t="s">
        <v>10</v>
      </c>
      <c r="D426" s="79" t="s">
        <v>38</v>
      </c>
      <c r="E426" s="79" t="s">
        <v>441</v>
      </c>
      <c r="F426" s="79" t="s">
        <v>26</v>
      </c>
      <c r="G426" s="81">
        <f>G427</f>
        <v>21416</v>
      </c>
      <c r="H426" s="81">
        <f>H427</f>
        <v>22200</v>
      </c>
      <c r="I426" s="81">
        <f>I427</f>
        <v>22800</v>
      </c>
      <c r="J426" s="136"/>
      <c r="K426" s="69"/>
      <c r="L426" s="69"/>
      <c r="M426" s="69"/>
      <c r="N426" s="69"/>
      <c r="O426" s="69"/>
      <c r="P426" s="69"/>
      <c r="Q426" s="69"/>
      <c r="R426" s="69"/>
    </row>
    <row r="427" spans="1:18" ht="25.5" customHeight="1" x14ac:dyDescent="0.25">
      <c r="A427" s="78" t="s">
        <v>27</v>
      </c>
      <c r="B427" s="120">
        <v>793</v>
      </c>
      <c r="C427" s="79" t="s">
        <v>10</v>
      </c>
      <c r="D427" s="79" t="s">
        <v>38</v>
      </c>
      <c r="E427" s="79" t="s">
        <v>441</v>
      </c>
      <c r="F427" s="79" t="s">
        <v>28</v>
      </c>
      <c r="G427" s="81">
        <v>21416</v>
      </c>
      <c r="H427" s="81">
        <v>22200</v>
      </c>
      <c r="I427" s="81">
        <v>22800</v>
      </c>
      <c r="J427" s="136"/>
      <c r="K427" s="69"/>
      <c r="L427" s="69"/>
      <c r="M427" s="69"/>
      <c r="N427" s="69"/>
      <c r="O427" s="69"/>
      <c r="P427" s="69"/>
      <c r="Q427" s="69"/>
      <c r="R427" s="69"/>
    </row>
    <row r="428" spans="1:18" s="46" customFormat="1" ht="89.25" customHeight="1" x14ac:dyDescent="0.25">
      <c r="A428" s="276" t="s">
        <v>501</v>
      </c>
      <c r="B428" s="120">
        <v>793</v>
      </c>
      <c r="C428" s="79" t="s">
        <v>10</v>
      </c>
      <c r="D428" s="79" t="s">
        <v>38</v>
      </c>
      <c r="E428" s="79" t="s">
        <v>437</v>
      </c>
      <c r="F428" s="79"/>
      <c r="G428" s="81">
        <f t="shared" ref="G428:I428" si="168">G429</f>
        <v>14000</v>
      </c>
      <c r="H428" s="81">
        <f t="shared" si="168"/>
        <v>14000</v>
      </c>
      <c r="I428" s="81">
        <f t="shared" si="168"/>
        <v>14000</v>
      </c>
      <c r="J428" s="136"/>
      <c r="K428" s="58"/>
      <c r="L428" s="58"/>
      <c r="M428" s="58"/>
      <c r="N428" s="58"/>
      <c r="O428" s="58"/>
      <c r="P428" s="58"/>
      <c r="Q428" s="58"/>
      <c r="R428" s="58"/>
    </row>
    <row r="429" spans="1:18" s="46" customFormat="1" x14ac:dyDescent="0.25">
      <c r="A429" s="16" t="s">
        <v>199</v>
      </c>
      <c r="B429" s="14">
        <v>793</v>
      </c>
      <c r="C429" s="15" t="s">
        <v>10</v>
      </c>
      <c r="D429" s="15" t="s">
        <v>38</v>
      </c>
      <c r="E429" s="15" t="s">
        <v>437</v>
      </c>
      <c r="F429" s="15" t="s">
        <v>26</v>
      </c>
      <c r="G429" s="70">
        <f>G430</f>
        <v>14000</v>
      </c>
      <c r="H429" s="70">
        <f>H430</f>
        <v>14000</v>
      </c>
      <c r="I429" s="70">
        <f>I430</f>
        <v>14000</v>
      </c>
      <c r="J429" s="136"/>
      <c r="K429" s="58"/>
      <c r="L429" s="58"/>
      <c r="M429" s="58"/>
      <c r="N429" s="58"/>
      <c r="O429" s="58"/>
      <c r="P429" s="58"/>
      <c r="Q429" s="58"/>
      <c r="R429" s="58"/>
    </row>
    <row r="430" spans="1:18" s="46" customFormat="1" ht="26.4" x14ac:dyDescent="0.25">
      <c r="A430" s="16" t="s">
        <v>27</v>
      </c>
      <c r="B430" s="14">
        <v>793</v>
      </c>
      <c r="C430" s="15" t="s">
        <v>10</v>
      </c>
      <c r="D430" s="15" t="s">
        <v>38</v>
      </c>
      <c r="E430" s="15" t="s">
        <v>437</v>
      </c>
      <c r="F430" s="15" t="s">
        <v>28</v>
      </c>
      <c r="G430" s="81">
        <v>14000</v>
      </c>
      <c r="H430" s="81">
        <v>14000</v>
      </c>
      <c r="I430" s="81">
        <v>14000</v>
      </c>
      <c r="J430" s="136"/>
      <c r="K430" s="58"/>
      <c r="L430" s="58"/>
      <c r="M430" s="58"/>
      <c r="N430" s="58"/>
      <c r="O430" s="58"/>
      <c r="P430" s="58"/>
      <c r="Q430" s="58"/>
      <c r="R430" s="58"/>
    </row>
    <row r="431" spans="1:18" s="46" customFormat="1" x14ac:dyDescent="0.25">
      <c r="A431" s="16" t="s">
        <v>177</v>
      </c>
      <c r="B431" s="14">
        <v>793</v>
      </c>
      <c r="C431" s="15" t="s">
        <v>10</v>
      </c>
      <c r="D431" s="15" t="s">
        <v>98</v>
      </c>
      <c r="E431" s="15"/>
      <c r="F431" s="15"/>
      <c r="G431" s="81">
        <f t="shared" ref="G431:I434" si="169">G432</f>
        <v>6104.51</v>
      </c>
      <c r="H431" s="81">
        <f t="shared" si="169"/>
        <v>147010.01</v>
      </c>
      <c r="I431" s="81">
        <f t="shared" si="169"/>
        <v>6044.77</v>
      </c>
      <c r="J431" s="136"/>
      <c r="K431" s="58"/>
      <c r="L431" s="58"/>
      <c r="M431" s="58"/>
      <c r="N431" s="58"/>
      <c r="O431" s="58"/>
      <c r="P431" s="58"/>
      <c r="Q431" s="58"/>
      <c r="R431" s="58"/>
    </row>
    <row r="432" spans="1:18" s="46" customFormat="1" x14ac:dyDescent="0.25">
      <c r="A432" s="16" t="s">
        <v>178</v>
      </c>
      <c r="B432" s="14">
        <v>793</v>
      </c>
      <c r="C432" s="15" t="s">
        <v>10</v>
      </c>
      <c r="D432" s="15" t="s">
        <v>98</v>
      </c>
      <c r="E432" s="15" t="s">
        <v>179</v>
      </c>
      <c r="F432" s="15"/>
      <c r="G432" s="81">
        <f t="shared" si="169"/>
        <v>6104.51</v>
      </c>
      <c r="H432" s="81">
        <f t="shared" si="169"/>
        <v>147010.01</v>
      </c>
      <c r="I432" s="81">
        <f t="shared" si="169"/>
        <v>6044.77</v>
      </c>
      <c r="J432" s="136"/>
      <c r="K432" s="58"/>
      <c r="L432" s="58"/>
      <c r="M432" s="58"/>
      <c r="N432" s="58"/>
      <c r="O432" s="58"/>
      <c r="P432" s="58"/>
      <c r="Q432" s="58"/>
      <c r="R432" s="58"/>
    </row>
    <row r="433" spans="1:18" s="46" customFormat="1" ht="87.75" customHeight="1" x14ac:dyDescent="0.25">
      <c r="A433" s="276" t="s">
        <v>436</v>
      </c>
      <c r="B433" s="120">
        <v>793</v>
      </c>
      <c r="C433" s="79" t="s">
        <v>10</v>
      </c>
      <c r="D433" s="79" t="s">
        <v>98</v>
      </c>
      <c r="E433" s="79" t="s">
        <v>435</v>
      </c>
      <c r="F433" s="79"/>
      <c r="G433" s="81">
        <f t="shared" si="169"/>
        <v>6104.51</v>
      </c>
      <c r="H433" s="81">
        <f t="shared" si="169"/>
        <v>147010.01</v>
      </c>
      <c r="I433" s="81">
        <f t="shared" si="169"/>
        <v>6044.77</v>
      </c>
      <c r="J433" s="136"/>
      <c r="K433" s="58"/>
      <c r="L433" s="58"/>
      <c r="M433" s="58"/>
      <c r="N433" s="58"/>
      <c r="O433" s="58"/>
      <c r="P433" s="58"/>
      <c r="Q433" s="58"/>
      <c r="R433" s="58"/>
    </row>
    <row r="434" spans="1:18" s="46" customFormat="1" ht="27.75" customHeight="1" x14ac:dyDescent="0.25">
      <c r="A434" s="78" t="s">
        <v>199</v>
      </c>
      <c r="B434" s="120">
        <v>793</v>
      </c>
      <c r="C434" s="79" t="s">
        <v>10</v>
      </c>
      <c r="D434" s="79" t="s">
        <v>98</v>
      </c>
      <c r="E434" s="79" t="s">
        <v>435</v>
      </c>
      <c r="F434" s="79" t="s">
        <v>26</v>
      </c>
      <c r="G434" s="81">
        <f t="shared" si="169"/>
        <v>6104.51</v>
      </c>
      <c r="H434" s="81">
        <f t="shared" si="169"/>
        <v>147010.01</v>
      </c>
      <c r="I434" s="81">
        <f t="shared" si="169"/>
        <v>6044.77</v>
      </c>
      <c r="J434" s="136"/>
      <c r="K434" s="58"/>
      <c r="L434" s="58"/>
      <c r="M434" s="58"/>
      <c r="N434" s="58"/>
      <c r="O434" s="58"/>
      <c r="P434" s="58"/>
      <c r="Q434" s="58"/>
      <c r="R434" s="58"/>
    </row>
    <row r="435" spans="1:18" s="46" customFormat="1" ht="26.4" x14ac:dyDescent="0.25">
      <c r="A435" s="78" t="s">
        <v>27</v>
      </c>
      <c r="B435" s="120">
        <v>793</v>
      </c>
      <c r="C435" s="79" t="s">
        <v>10</v>
      </c>
      <c r="D435" s="79" t="s">
        <v>98</v>
      </c>
      <c r="E435" s="79" t="s">
        <v>435</v>
      </c>
      <c r="F435" s="79" t="s">
        <v>28</v>
      </c>
      <c r="G435" s="81">
        <v>6104.51</v>
      </c>
      <c r="H435" s="81">
        <v>147010.01</v>
      </c>
      <c r="I435" s="81">
        <v>6044.77</v>
      </c>
      <c r="J435" s="136"/>
      <c r="K435" s="58"/>
      <c r="L435" s="58"/>
      <c r="M435" s="58"/>
      <c r="N435" s="58"/>
      <c r="O435" s="58"/>
      <c r="P435" s="58"/>
      <c r="Q435" s="58"/>
      <c r="R435" s="58"/>
    </row>
    <row r="436" spans="1:18" s="18" customFormat="1" x14ac:dyDescent="0.25">
      <c r="A436" s="113" t="s">
        <v>204</v>
      </c>
      <c r="B436" s="120">
        <v>793</v>
      </c>
      <c r="C436" s="79" t="s">
        <v>10</v>
      </c>
      <c r="D436" s="79" t="s">
        <v>51</v>
      </c>
      <c r="E436" s="79"/>
      <c r="F436" s="79"/>
      <c r="G436" s="81">
        <f t="shared" ref="G436:I439" si="170">G437</f>
        <v>1000000</v>
      </c>
      <c r="H436" s="81">
        <f t="shared" si="170"/>
        <v>1000000</v>
      </c>
      <c r="I436" s="81">
        <f t="shared" si="170"/>
        <v>1000000</v>
      </c>
      <c r="J436" s="136"/>
      <c r="K436" s="141"/>
      <c r="L436" s="141"/>
      <c r="M436" s="141"/>
      <c r="N436" s="141"/>
      <c r="O436" s="141"/>
      <c r="P436" s="141"/>
      <c r="Q436" s="141"/>
      <c r="R436" s="141"/>
    </row>
    <row r="437" spans="1:18" s="28" customFormat="1" ht="24.75" customHeight="1" x14ac:dyDescent="0.25">
      <c r="A437" s="114" t="s">
        <v>415</v>
      </c>
      <c r="B437" s="120">
        <v>793</v>
      </c>
      <c r="C437" s="79" t="s">
        <v>10</v>
      </c>
      <c r="D437" s="79" t="s">
        <v>51</v>
      </c>
      <c r="E437" s="79" t="s">
        <v>146</v>
      </c>
      <c r="F437" s="133"/>
      <c r="G437" s="81">
        <f t="shared" si="170"/>
        <v>1000000</v>
      </c>
      <c r="H437" s="81">
        <f t="shared" si="170"/>
        <v>1000000</v>
      </c>
      <c r="I437" s="81">
        <f t="shared" si="170"/>
        <v>1000000</v>
      </c>
      <c r="J437" s="136"/>
      <c r="K437" s="202"/>
      <c r="L437" s="202"/>
      <c r="M437" s="202"/>
      <c r="N437" s="202"/>
      <c r="O437" s="202"/>
      <c r="P437" s="202"/>
      <c r="Q437" s="202"/>
      <c r="R437" s="202"/>
    </row>
    <row r="438" spans="1:18" x14ac:dyDescent="0.25">
      <c r="A438" s="114" t="s">
        <v>415</v>
      </c>
      <c r="B438" s="120">
        <v>793</v>
      </c>
      <c r="C438" s="79" t="s">
        <v>10</v>
      </c>
      <c r="D438" s="79" t="s">
        <v>51</v>
      </c>
      <c r="E438" s="79" t="s">
        <v>176</v>
      </c>
      <c r="F438" s="120"/>
      <c r="G438" s="81">
        <f t="shared" si="170"/>
        <v>1000000</v>
      </c>
      <c r="H438" s="81">
        <f t="shared" si="170"/>
        <v>1000000</v>
      </c>
      <c r="I438" s="81">
        <f t="shared" si="170"/>
        <v>1000000</v>
      </c>
      <c r="J438" s="136"/>
      <c r="K438" s="69"/>
      <c r="L438" s="69"/>
      <c r="M438" s="69"/>
      <c r="N438" s="69"/>
      <c r="O438" s="69"/>
      <c r="P438" s="69"/>
      <c r="Q438" s="69"/>
      <c r="R438" s="69"/>
    </row>
    <row r="439" spans="1:18" x14ac:dyDescent="0.25">
      <c r="A439" s="78" t="s">
        <v>43</v>
      </c>
      <c r="B439" s="120">
        <v>793</v>
      </c>
      <c r="C439" s="79" t="s">
        <v>10</v>
      </c>
      <c r="D439" s="79" t="s">
        <v>51</v>
      </c>
      <c r="E439" s="79" t="s">
        <v>176</v>
      </c>
      <c r="F439" s="79" t="s">
        <v>44</v>
      </c>
      <c r="G439" s="81">
        <f t="shared" si="170"/>
        <v>1000000</v>
      </c>
      <c r="H439" s="81">
        <f t="shared" si="170"/>
        <v>1000000</v>
      </c>
      <c r="I439" s="81">
        <f t="shared" si="170"/>
        <v>1000000</v>
      </c>
      <c r="J439" s="136"/>
      <c r="K439" s="69"/>
      <c r="L439" s="69"/>
      <c r="M439" s="69"/>
      <c r="N439" s="69"/>
      <c r="O439" s="69"/>
      <c r="P439" s="69"/>
      <c r="Q439" s="69"/>
      <c r="R439" s="69"/>
    </row>
    <row r="440" spans="1:18" x14ac:dyDescent="0.25">
      <c r="A440" s="78" t="s">
        <v>101</v>
      </c>
      <c r="B440" s="120">
        <v>793</v>
      </c>
      <c r="C440" s="79" t="s">
        <v>10</v>
      </c>
      <c r="D440" s="79" t="s">
        <v>51</v>
      </c>
      <c r="E440" s="79" t="s">
        <v>176</v>
      </c>
      <c r="F440" s="79" t="s">
        <v>102</v>
      </c>
      <c r="G440" s="81">
        <v>1000000</v>
      </c>
      <c r="H440" s="81">
        <v>1000000</v>
      </c>
      <c r="I440" s="81">
        <v>1000000</v>
      </c>
      <c r="J440" s="136"/>
      <c r="K440" s="69"/>
      <c r="L440" s="69"/>
      <c r="M440" s="69"/>
      <c r="N440" s="69"/>
      <c r="O440" s="69"/>
      <c r="P440" s="69"/>
      <c r="Q440" s="69"/>
      <c r="R440" s="69"/>
    </row>
    <row r="441" spans="1:18" x14ac:dyDescent="0.25">
      <c r="A441" s="113" t="s">
        <v>13</v>
      </c>
      <c r="B441" s="120">
        <v>793</v>
      </c>
      <c r="C441" s="79" t="s">
        <v>10</v>
      </c>
      <c r="D441" s="79" t="s">
        <v>14</v>
      </c>
      <c r="E441" s="79"/>
      <c r="F441" s="79"/>
      <c r="G441" s="81">
        <f>G442+G461+G465+G476+G472</f>
        <v>31078779.649999999</v>
      </c>
      <c r="H441" s="81">
        <f t="shared" ref="H441:I441" si="171">H442+H461+H465+H476+H472</f>
        <v>30437469.169999998</v>
      </c>
      <c r="I441" s="81">
        <f t="shared" si="171"/>
        <v>30437469.169999998</v>
      </c>
      <c r="J441" s="70">
        <f>J442+J461+J465+J476</f>
        <v>0</v>
      </c>
      <c r="K441" s="70">
        <f>K442+K461+K465+K476</f>
        <v>0</v>
      </c>
      <c r="L441" s="70">
        <f>L442+L461+L465+L476</f>
        <v>0</v>
      </c>
      <c r="M441" s="70">
        <f>M442+M461+M465+M476</f>
        <v>0</v>
      </c>
      <c r="N441" s="69"/>
      <c r="O441" s="69"/>
      <c r="P441" s="69"/>
      <c r="Q441" s="69"/>
      <c r="R441" s="69"/>
    </row>
    <row r="442" spans="1:18" s="33" customFormat="1" ht="64.5" customHeight="1" x14ac:dyDescent="0.25">
      <c r="A442" s="78" t="s">
        <v>356</v>
      </c>
      <c r="B442" s="120">
        <v>793</v>
      </c>
      <c r="C442" s="79" t="s">
        <v>10</v>
      </c>
      <c r="D442" s="79" t="s">
        <v>14</v>
      </c>
      <c r="E442" s="120" t="s">
        <v>156</v>
      </c>
      <c r="F442" s="79"/>
      <c r="G442" s="278">
        <f>G443+G446+G449+G452+G455+G458</f>
        <v>676310.48</v>
      </c>
      <c r="H442" s="278">
        <f t="shared" ref="H442:I442" si="172">H443+H446+H449+H452+H455+H458</f>
        <v>35000</v>
      </c>
      <c r="I442" s="278">
        <f t="shared" si="172"/>
        <v>35000</v>
      </c>
      <c r="J442" s="136"/>
      <c r="K442" s="209"/>
      <c r="L442" s="209"/>
      <c r="M442" s="209"/>
      <c r="N442" s="209"/>
      <c r="O442" s="209"/>
      <c r="P442" s="209"/>
      <c r="Q442" s="209"/>
      <c r="R442" s="209"/>
    </row>
    <row r="443" spans="1:18" s="33" customFormat="1" ht="41.25" hidden="1" customHeight="1" x14ac:dyDescent="0.25">
      <c r="A443" s="78" t="s">
        <v>107</v>
      </c>
      <c r="B443" s="120">
        <v>793</v>
      </c>
      <c r="C443" s="79" t="s">
        <v>10</v>
      </c>
      <c r="D443" s="79" t="s">
        <v>14</v>
      </c>
      <c r="E443" s="79" t="s">
        <v>236</v>
      </c>
      <c r="F443" s="79"/>
      <c r="G443" s="81">
        <f t="shared" ref="G443:I444" si="173">G444</f>
        <v>0</v>
      </c>
      <c r="H443" s="81">
        <f>H444</f>
        <v>0</v>
      </c>
      <c r="I443" s="81">
        <f t="shared" si="173"/>
        <v>0</v>
      </c>
      <c r="J443" s="136"/>
      <c r="K443" s="209"/>
      <c r="L443" s="209"/>
      <c r="M443" s="209"/>
      <c r="N443" s="209"/>
      <c r="O443" s="209"/>
      <c r="P443" s="209"/>
      <c r="Q443" s="209"/>
      <c r="R443" s="209"/>
    </row>
    <row r="444" spans="1:18" s="33" customFormat="1" ht="28.5" hidden="1" customHeight="1" x14ac:dyDescent="0.25">
      <c r="A444" s="78" t="s">
        <v>21</v>
      </c>
      <c r="B444" s="120">
        <v>793</v>
      </c>
      <c r="C444" s="79" t="s">
        <v>10</v>
      </c>
      <c r="D444" s="79" t="s">
        <v>14</v>
      </c>
      <c r="E444" s="79" t="s">
        <v>236</v>
      </c>
      <c r="F444" s="79" t="s">
        <v>22</v>
      </c>
      <c r="G444" s="81">
        <f t="shared" si="173"/>
        <v>0</v>
      </c>
      <c r="H444" s="81">
        <f t="shared" si="173"/>
        <v>0</v>
      </c>
      <c r="I444" s="81">
        <f t="shared" si="173"/>
        <v>0</v>
      </c>
      <c r="J444" s="136"/>
      <c r="K444" s="209"/>
      <c r="L444" s="209"/>
      <c r="M444" s="209"/>
      <c r="N444" s="209"/>
      <c r="O444" s="209"/>
      <c r="P444" s="209"/>
      <c r="Q444" s="209"/>
      <c r="R444" s="209"/>
    </row>
    <row r="445" spans="1:18" s="33" customFormat="1" ht="45.75" hidden="1" customHeight="1" x14ac:dyDescent="0.25">
      <c r="A445" s="78" t="s">
        <v>2</v>
      </c>
      <c r="B445" s="120">
        <v>793</v>
      </c>
      <c r="C445" s="79" t="s">
        <v>10</v>
      </c>
      <c r="D445" s="79" t="s">
        <v>14</v>
      </c>
      <c r="E445" s="79" t="s">
        <v>236</v>
      </c>
      <c r="F445" s="79" t="s">
        <v>1</v>
      </c>
      <c r="G445" s="81"/>
      <c r="H445" s="81"/>
      <c r="I445" s="81"/>
      <c r="J445" s="136"/>
      <c r="K445" s="209"/>
      <c r="L445" s="209"/>
      <c r="M445" s="209"/>
      <c r="N445" s="209"/>
      <c r="O445" s="209"/>
      <c r="P445" s="209"/>
      <c r="Q445" s="209"/>
      <c r="R445" s="209"/>
    </row>
    <row r="446" spans="1:18" ht="30.75" hidden="1" customHeight="1" x14ac:dyDescent="0.25">
      <c r="A446" s="276" t="s">
        <v>451</v>
      </c>
      <c r="B446" s="120">
        <v>793</v>
      </c>
      <c r="C446" s="79" t="s">
        <v>10</v>
      </c>
      <c r="D446" s="79" t="s">
        <v>14</v>
      </c>
      <c r="E446" s="79" t="s">
        <v>237</v>
      </c>
      <c r="F446" s="79"/>
      <c r="G446" s="81">
        <f>G447</f>
        <v>0</v>
      </c>
      <c r="H446" s="81">
        <f t="shared" ref="H446:I446" si="174">H447</f>
        <v>0</v>
      </c>
      <c r="I446" s="81">
        <f t="shared" si="174"/>
        <v>0</v>
      </c>
      <c r="J446" s="136"/>
      <c r="K446" s="69"/>
      <c r="L446" s="69"/>
      <c r="M446" s="69"/>
      <c r="N446" s="69"/>
      <c r="O446" s="69"/>
      <c r="P446" s="69"/>
      <c r="Q446" s="69"/>
      <c r="R446" s="69"/>
    </row>
    <row r="447" spans="1:18" ht="16.5" hidden="1" customHeight="1" x14ac:dyDescent="0.25">
      <c r="A447" s="78" t="s">
        <v>43</v>
      </c>
      <c r="B447" s="120">
        <v>793</v>
      </c>
      <c r="C447" s="79" t="s">
        <v>10</v>
      </c>
      <c r="D447" s="79" t="s">
        <v>14</v>
      </c>
      <c r="E447" s="79" t="s">
        <v>237</v>
      </c>
      <c r="F447" s="279" t="s">
        <v>44</v>
      </c>
      <c r="G447" s="81">
        <f>G448</f>
        <v>0</v>
      </c>
      <c r="H447" s="81">
        <f t="shared" ref="H447:I447" si="175">H448</f>
        <v>0</v>
      </c>
      <c r="I447" s="81">
        <f t="shared" si="175"/>
        <v>0</v>
      </c>
      <c r="J447" s="136"/>
      <c r="K447" s="69"/>
      <c r="L447" s="69"/>
      <c r="M447" s="69"/>
      <c r="N447" s="69"/>
      <c r="O447" s="69"/>
      <c r="P447" s="69"/>
      <c r="Q447" s="69"/>
      <c r="R447" s="69"/>
    </row>
    <row r="448" spans="1:18" ht="20.25" hidden="1" customHeight="1" x14ac:dyDescent="0.25">
      <c r="A448" s="78" t="s">
        <v>101</v>
      </c>
      <c r="B448" s="120">
        <v>793</v>
      </c>
      <c r="C448" s="79" t="s">
        <v>10</v>
      </c>
      <c r="D448" s="79" t="s">
        <v>14</v>
      </c>
      <c r="E448" s="79" t="s">
        <v>237</v>
      </c>
      <c r="F448" s="279" t="s">
        <v>102</v>
      </c>
      <c r="G448" s="280"/>
      <c r="H448" s="280"/>
      <c r="I448" s="280"/>
      <c r="J448" s="136"/>
      <c r="K448" s="69"/>
      <c r="L448" s="69"/>
      <c r="M448" s="69"/>
      <c r="N448" s="69"/>
      <c r="O448" s="69"/>
      <c r="P448" s="69"/>
      <c r="Q448" s="69"/>
      <c r="R448" s="69"/>
    </row>
    <row r="449" spans="1:18" ht="25.5" customHeight="1" x14ac:dyDescent="0.25">
      <c r="A449" s="78" t="s">
        <v>77</v>
      </c>
      <c r="B449" s="120">
        <v>793</v>
      </c>
      <c r="C449" s="79" t="s">
        <v>10</v>
      </c>
      <c r="D449" s="79" t="s">
        <v>14</v>
      </c>
      <c r="E449" s="79" t="s">
        <v>157</v>
      </c>
      <c r="F449" s="279"/>
      <c r="G449" s="81">
        <f>G450</f>
        <v>35000</v>
      </c>
      <c r="H449" s="81">
        <f t="shared" ref="H449:I449" si="176">H450</f>
        <v>35000</v>
      </c>
      <c r="I449" s="81">
        <f t="shared" si="176"/>
        <v>35000</v>
      </c>
      <c r="J449" s="136"/>
      <c r="K449" s="69"/>
      <c r="L449" s="69"/>
      <c r="M449" s="69"/>
      <c r="N449" s="69"/>
      <c r="O449" s="69"/>
      <c r="P449" s="69"/>
      <c r="Q449" s="69"/>
      <c r="R449" s="69"/>
    </row>
    <row r="450" spans="1:18" ht="18.75" customHeight="1" x14ac:dyDescent="0.25">
      <c r="A450" s="78" t="s">
        <v>43</v>
      </c>
      <c r="B450" s="120">
        <v>793</v>
      </c>
      <c r="C450" s="79" t="s">
        <v>10</v>
      </c>
      <c r="D450" s="79" t="s">
        <v>14</v>
      </c>
      <c r="E450" s="79" t="s">
        <v>157</v>
      </c>
      <c r="F450" s="279" t="s">
        <v>44</v>
      </c>
      <c r="G450" s="81">
        <f>G451</f>
        <v>35000</v>
      </c>
      <c r="H450" s="81">
        <f t="shared" ref="H450:I450" si="177">H451</f>
        <v>35000</v>
      </c>
      <c r="I450" s="81">
        <f t="shared" si="177"/>
        <v>35000</v>
      </c>
      <c r="J450" s="136"/>
      <c r="K450" s="69"/>
      <c r="L450" s="69"/>
      <c r="M450" s="69"/>
      <c r="N450" s="69"/>
      <c r="O450" s="69"/>
      <c r="P450" s="69"/>
      <c r="Q450" s="69"/>
      <c r="R450" s="69"/>
    </row>
    <row r="451" spans="1:18" ht="19.5" customHeight="1" x14ac:dyDescent="0.25">
      <c r="A451" s="78" t="s">
        <v>83</v>
      </c>
      <c r="B451" s="120">
        <v>793</v>
      </c>
      <c r="C451" s="79" t="s">
        <v>10</v>
      </c>
      <c r="D451" s="79" t="s">
        <v>14</v>
      </c>
      <c r="E451" s="79" t="s">
        <v>157</v>
      </c>
      <c r="F451" s="79" t="s">
        <v>46</v>
      </c>
      <c r="G451" s="81">
        <v>35000</v>
      </c>
      <c r="H451" s="81">
        <v>35000</v>
      </c>
      <c r="I451" s="81">
        <v>35000</v>
      </c>
      <c r="J451" s="136"/>
      <c r="K451" s="69"/>
      <c r="L451" s="69"/>
      <c r="M451" s="69"/>
      <c r="N451" s="69"/>
      <c r="O451" s="69"/>
      <c r="P451" s="69"/>
      <c r="Q451" s="69"/>
      <c r="R451" s="69"/>
    </row>
    <row r="452" spans="1:18" ht="16.5" hidden="1" customHeight="1" x14ac:dyDescent="0.25">
      <c r="A452" s="78" t="s">
        <v>248</v>
      </c>
      <c r="B452" s="120">
        <v>793</v>
      </c>
      <c r="C452" s="79" t="s">
        <v>10</v>
      </c>
      <c r="D452" s="79" t="s">
        <v>14</v>
      </c>
      <c r="E452" s="79" t="s">
        <v>249</v>
      </c>
      <c r="F452" s="79"/>
      <c r="G452" s="81">
        <f>G453</f>
        <v>0</v>
      </c>
      <c r="H452" s="81">
        <f t="shared" ref="H452:I452" si="178">H453</f>
        <v>0</v>
      </c>
      <c r="I452" s="81">
        <f t="shared" si="178"/>
        <v>0</v>
      </c>
      <c r="J452" s="136"/>
      <c r="K452" s="69"/>
      <c r="L452" s="69"/>
      <c r="M452" s="69"/>
      <c r="N452" s="69"/>
      <c r="O452" s="69"/>
      <c r="P452" s="69"/>
      <c r="Q452" s="69"/>
      <c r="R452" s="69"/>
    </row>
    <row r="453" spans="1:18" ht="25.5" hidden="1" customHeight="1" x14ac:dyDescent="0.25">
      <c r="A453" s="78" t="s">
        <v>199</v>
      </c>
      <c r="B453" s="120">
        <v>793</v>
      </c>
      <c r="C453" s="79" t="s">
        <v>10</v>
      </c>
      <c r="D453" s="79" t="s">
        <v>14</v>
      </c>
      <c r="E453" s="79" t="s">
        <v>249</v>
      </c>
      <c r="F453" s="79" t="s">
        <v>26</v>
      </c>
      <c r="G453" s="81">
        <f>G454</f>
        <v>0</v>
      </c>
      <c r="H453" s="81">
        <f>H454</f>
        <v>0</v>
      </c>
      <c r="I453" s="81">
        <f>I454</f>
        <v>0</v>
      </c>
      <c r="J453" s="136"/>
      <c r="K453" s="69"/>
      <c r="L453" s="69"/>
      <c r="M453" s="69"/>
      <c r="N453" s="69"/>
      <c r="O453" s="69"/>
      <c r="P453" s="69"/>
      <c r="Q453" s="69"/>
      <c r="R453" s="69"/>
    </row>
    <row r="454" spans="1:18" ht="25.5" hidden="1" customHeight="1" x14ac:dyDescent="0.25">
      <c r="A454" s="78" t="s">
        <v>27</v>
      </c>
      <c r="B454" s="120">
        <v>793</v>
      </c>
      <c r="C454" s="79" t="s">
        <v>10</v>
      </c>
      <c r="D454" s="79" t="s">
        <v>14</v>
      </c>
      <c r="E454" s="79" t="s">
        <v>249</v>
      </c>
      <c r="F454" s="79" t="s">
        <v>28</v>
      </c>
      <c r="G454" s="81"/>
      <c r="H454" s="81"/>
      <c r="I454" s="81"/>
      <c r="J454" s="136"/>
      <c r="K454" s="69"/>
      <c r="L454" s="69"/>
      <c r="M454" s="69"/>
      <c r="N454" s="69"/>
      <c r="O454" s="69"/>
      <c r="P454" s="69"/>
      <c r="Q454" s="69"/>
      <c r="R454" s="69"/>
    </row>
    <row r="455" spans="1:18" ht="25.5" hidden="1" customHeight="1" x14ac:dyDescent="0.25">
      <c r="A455" s="78" t="s">
        <v>457</v>
      </c>
      <c r="B455" s="120">
        <v>793</v>
      </c>
      <c r="C455" s="79" t="s">
        <v>10</v>
      </c>
      <c r="D455" s="79" t="s">
        <v>14</v>
      </c>
      <c r="E455" s="79" t="s">
        <v>458</v>
      </c>
      <c r="F455" s="79"/>
      <c r="G455" s="81">
        <f>G456</f>
        <v>0</v>
      </c>
      <c r="H455" s="81">
        <f t="shared" ref="H455:I455" si="179">H456</f>
        <v>0</v>
      </c>
      <c r="I455" s="81">
        <f t="shared" si="179"/>
        <v>0</v>
      </c>
      <c r="J455" s="136"/>
      <c r="K455" s="69"/>
      <c r="L455" s="69"/>
      <c r="M455" s="69"/>
      <c r="N455" s="69"/>
      <c r="O455" s="69"/>
      <c r="P455" s="69"/>
      <c r="Q455" s="69"/>
      <c r="R455" s="69"/>
    </row>
    <row r="456" spans="1:18" ht="18.75" hidden="1" customHeight="1" x14ac:dyDescent="0.25">
      <c r="A456" s="78" t="s">
        <v>43</v>
      </c>
      <c r="B456" s="120">
        <v>793</v>
      </c>
      <c r="C456" s="79" t="s">
        <v>10</v>
      </c>
      <c r="D456" s="79" t="s">
        <v>14</v>
      </c>
      <c r="E456" s="79" t="s">
        <v>458</v>
      </c>
      <c r="F456" s="79" t="s">
        <v>44</v>
      </c>
      <c r="G456" s="81">
        <f>G457</f>
        <v>0</v>
      </c>
      <c r="H456" s="81">
        <f t="shared" ref="H456:I456" si="180">H457</f>
        <v>0</v>
      </c>
      <c r="I456" s="81">
        <f t="shared" si="180"/>
        <v>0</v>
      </c>
      <c r="J456" s="136"/>
      <c r="K456" s="69"/>
      <c r="L456" s="69"/>
      <c r="M456" s="69"/>
      <c r="N456" s="69"/>
      <c r="O456" s="69"/>
      <c r="P456" s="69"/>
      <c r="Q456" s="69"/>
      <c r="R456" s="69"/>
    </row>
    <row r="457" spans="1:18" ht="19.5" hidden="1" customHeight="1" x14ac:dyDescent="0.25">
      <c r="A457" s="78" t="s">
        <v>83</v>
      </c>
      <c r="B457" s="120">
        <v>793</v>
      </c>
      <c r="C457" s="79" t="s">
        <v>10</v>
      </c>
      <c r="D457" s="79" t="s">
        <v>14</v>
      </c>
      <c r="E457" s="79" t="s">
        <v>458</v>
      </c>
      <c r="F457" s="79" t="s">
        <v>102</v>
      </c>
      <c r="G457" s="81"/>
      <c r="H457" s="81"/>
      <c r="I457" s="81"/>
      <c r="J457" s="136"/>
      <c r="K457" s="69"/>
      <c r="L457" s="69"/>
      <c r="M457" s="69"/>
      <c r="N457" s="69"/>
      <c r="O457" s="69"/>
      <c r="P457" s="69"/>
      <c r="Q457" s="69"/>
      <c r="R457" s="69"/>
    </row>
    <row r="458" spans="1:18" ht="33" customHeight="1" x14ac:dyDescent="0.25">
      <c r="A458" s="78" t="s">
        <v>460</v>
      </c>
      <c r="B458" s="120">
        <v>793</v>
      </c>
      <c r="C458" s="79" t="s">
        <v>10</v>
      </c>
      <c r="D458" s="79" t="s">
        <v>14</v>
      </c>
      <c r="E458" s="79" t="s">
        <v>459</v>
      </c>
      <c r="F458" s="79"/>
      <c r="G458" s="81">
        <f>G459</f>
        <v>641310.48</v>
      </c>
      <c r="H458" s="81">
        <f t="shared" ref="H458:I458" si="181">H459</f>
        <v>0</v>
      </c>
      <c r="I458" s="81">
        <f t="shared" si="181"/>
        <v>0</v>
      </c>
      <c r="J458" s="136"/>
      <c r="K458" s="69"/>
      <c r="L458" s="69"/>
      <c r="M458" s="69"/>
      <c r="N458" s="69"/>
      <c r="O458" s="69"/>
      <c r="P458" s="69"/>
      <c r="Q458" s="69"/>
      <c r="R458" s="69"/>
    </row>
    <row r="459" spans="1:18" ht="18.75" customHeight="1" x14ac:dyDescent="0.25">
      <c r="A459" s="78" t="s">
        <v>43</v>
      </c>
      <c r="B459" s="120">
        <v>793</v>
      </c>
      <c r="C459" s="79" t="s">
        <v>10</v>
      </c>
      <c r="D459" s="79" t="s">
        <v>14</v>
      </c>
      <c r="E459" s="79" t="s">
        <v>459</v>
      </c>
      <c r="F459" s="79" t="s">
        <v>44</v>
      </c>
      <c r="G459" s="81">
        <f>G460</f>
        <v>641310.48</v>
      </c>
      <c r="H459" s="81">
        <f t="shared" ref="H459:I459" si="182">H460</f>
        <v>0</v>
      </c>
      <c r="I459" s="81">
        <f t="shared" si="182"/>
        <v>0</v>
      </c>
      <c r="J459" s="136"/>
      <c r="K459" s="69"/>
      <c r="L459" s="69"/>
      <c r="M459" s="69"/>
      <c r="N459" s="69"/>
      <c r="O459" s="69"/>
      <c r="P459" s="69"/>
      <c r="Q459" s="69"/>
      <c r="R459" s="69"/>
    </row>
    <row r="460" spans="1:18" ht="19.5" customHeight="1" x14ac:dyDescent="0.25">
      <c r="A460" s="78" t="s">
        <v>101</v>
      </c>
      <c r="B460" s="120">
        <v>793</v>
      </c>
      <c r="C460" s="79" t="s">
        <v>10</v>
      </c>
      <c r="D460" s="79" t="s">
        <v>14</v>
      </c>
      <c r="E460" s="79" t="s">
        <v>459</v>
      </c>
      <c r="F460" s="79" t="s">
        <v>102</v>
      </c>
      <c r="G460" s="81">
        <v>641310.48</v>
      </c>
      <c r="H460" s="81"/>
      <c r="I460" s="81"/>
      <c r="J460" s="136"/>
      <c r="K460" s="69"/>
      <c r="L460" s="69"/>
      <c r="M460" s="69"/>
      <c r="N460" s="69"/>
      <c r="O460" s="69"/>
      <c r="P460" s="69"/>
      <c r="Q460" s="69"/>
      <c r="R460" s="69"/>
    </row>
    <row r="461" spans="1:18" ht="39.75" customHeight="1" x14ac:dyDescent="0.25">
      <c r="A461" s="78" t="s">
        <v>365</v>
      </c>
      <c r="B461" s="120">
        <v>793</v>
      </c>
      <c r="C461" s="79" t="s">
        <v>10</v>
      </c>
      <c r="D461" s="79" t="s">
        <v>14</v>
      </c>
      <c r="E461" s="79" t="s">
        <v>111</v>
      </c>
      <c r="F461" s="79"/>
      <c r="G461" s="81">
        <f>G462</f>
        <v>50000</v>
      </c>
      <c r="H461" s="81">
        <f t="shared" ref="H461:I461" si="183">H462</f>
        <v>50000</v>
      </c>
      <c r="I461" s="81">
        <f t="shared" si="183"/>
        <v>50000</v>
      </c>
      <c r="J461" s="136"/>
      <c r="K461" s="69"/>
      <c r="L461" s="69"/>
      <c r="M461" s="69"/>
      <c r="N461" s="69"/>
      <c r="O461" s="69"/>
      <c r="P461" s="69"/>
      <c r="Q461" s="69"/>
      <c r="R461" s="69"/>
    </row>
    <row r="462" spans="1:18" ht="30.75" customHeight="1" x14ac:dyDescent="0.25">
      <c r="A462" s="16" t="s">
        <v>281</v>
      </c>
      <c r="B462" s="14">
        <v>793</v>
      </c>
      <c r="C462" s="15" t="s">
        <v>10</v>
      </c>
      <c r="D462" s="15" t="s">
        <v>14</v>
      </c>
      <c r="E462" s="15" t="s">
        <v>292</v>
      </c>
      <c r="F462" s="15"/>
      <c r="G462" s="81">
        <f>G463</f>
        <v>50000</v>
      </c>
      <c r="H462" s="81">
        <f t="shared" ref="H462:I462" si="184">H463</f>
        <v>50000</v>
      </c>
      <c r="I462" s="81">
        <f t="shared" si="184"/>
        <v>50000</v>
      </c>
      <c r="J462" s="136"/>
      <c r="K462" s="69"/>
      <c r="L462" s="69"/>
      <c r="M462" s="69"/>
      <c r="N462" s="69"/>
      <c r="O462" s="69"/>
      <c r="P462" s="69"/>
      <c r="Q462" s="69"/>
      <c r="R462" s="69"/>
    </row>
    <row r="463" spans="1:18" ht="19.5" customHeight="1" x14ac:dyDescent="0.25">
      <c r="A463" s="16" t="s">
        <v>199</v>
      </c>
      <c r="B463" s="14">
        <v>793</v>
      </c>
      <c r="C463" s="15" t="s">
        <v>10</v>
      </c>
      <c r="D463" s="15" t="s">
        <v>14</v>
      </c>
      <c r="E463" s="15" t="s">
        <v>292</v>
      </c>
      <c r="F463" s="15" t="s">
        <v>26</v>
      </c>
      <c r="G463" s="81">
        <f>G464</f>
        <v>50000</v>
      </c>
      <c r="H463" s="81">
        <f t="shared" ref="H463:I463" si="185">H464</f>
        <v>50000</v>
      </c>
      <c r="I463" s="81">
        <f t="shared" si="185"/>
        <v>50000</v>
      </c>
      <c r="J463" s="136"/>
      <c r="K463" s="69"/>
      <c r="L463" s="69"/>
      <c r="M463" s="69"/>
      <c r="N463" s="69"/>
      <c r="O463" s="69"/>
      <c r="P463" s="69"/>
      <c r="Q463" s="69"/>
      <c r="R463" s="69"/>
    </row>
    <row r="464" spans="1:18" ht="25.5" customHeight="1" x14ac:dyDescent="0.25">
      <c r="A464" s="16" t="s">
        <v>27</v>
      </c>
      <c r="B464" s="14">
        <v>793</v>
      </c>
      <c r="C464" s="15" t="s">
        <v>10</v>
      </c>
      <c r="D464" s="15" t="s">
        <v>14</v>
      </c>
      <c r="E464" s="15" t="s">
        <v>292</v>
      </c>
      <c r="F464" s="15" t="s">
        <v>28</v>
      </c>
      <c r="G464" s="81">
        <v>50000</v>
      </c>
      <c r="H464" s="81">
        <v>50000</v>
      </c>
      <c r="I464" s="81">
        <v>50000</v>
      </c>
      <c r="J464" s="136"/>
      <c r="K464" s="69"/>
      <c r="L464" s="69"/>
      <c r="M464" s="69"/>
      <c r="N464" s="69"/>
      <c r="O464" s="69"/>
      <c r="P464" s="69"/>
      <c r="Q464" s="180"/>
      <c r="R464" s="69"/>
    </row>
    <row r="465" spans="1:20" ht="47.25" customHeight="1" x14ac:dyDescent="0.25">
      <c r="A465" s="16" t="s">
        <v>355</v>
      </c>
      <c r="B465" s="14">
        <v>793</v>
      </c>
      <c r="C465" s="15" t="s">
        <v>10</v>
      </c>
      <c r="D465" s="15" t="s">
        <v>14</v>
      </c>
      <c r="E465" s="15" t="s">
        <v>158</v>
      </c>
      <c r="F465" s="15"/>
      <c r="G465" s="81">
        <f>G466+G469</f>
        <v>85000</v>
      </c>
      <c r="H465" s="81">
        <f t="shared" ref="H465:I465" si="186">H466+H469</f>
        <v>85000</v>
      </c>
      <c r="I465" s="81">
        <f t="shared" si="186"/>
        <v>85000</v>
      </c>
      <c r="J465" s="136"/>
      <c r="K465" s="69"/>
      <c r="L465" s="69"/>
      <c r="M465" s="69"/>
      <c r="N465" s="180"/>
      <c r="O465" s="69"/>
      <c r="P465" s="69"/>
      <c r="Q465" s="69"/>
      <c r="R465" s="69"/>
    </row>
    <row r="466" spans="1:20" ht="54.75" customHeight="1" x14ac:dyDescent="0.25">
      <c r="A466" s="40" t="s">
        <v>12</v>
      </c>
      <c r="B466" s="14">
        <v>793</v>
      </c>
      <c r="C466" s="15" t="s">
        <v>10</v>
      </c>
      <c r="D466" s="15" t="s">
        <v>14</v>
      </c>
      <c r="E466" s="15" t="s">
        <v>11</v>
      </c>
      <c r="F466" s="15"/>
      <c r="G466" s="81">
        <f t="shared" ref="G466:I467" si="187">G467</f>
        <v>75000</v>
      </c>
      <c r="H466" s="81">
        <f t="shared" si="187"/>
        <v>75000</v>
      </c>
      <c r="I466" s="81">
        <f t="shared" si="187"/>
        <v>75000</v>
      </c>
      <c r="J466" s="136"/>
      <c r="K466" s="69"/>
      <c r="L466" s="69"/>
      <c r="M466" s="69"/>
      <c r="N466" s="69"/>
      <c r="O466" s="69"/>
      <c r="P466" s="69"/>
      <c r="Q466" s="69"/>
      <c r="R466" s="69"/>
    </row>
    <row r="467" spans="1:20" ht="18" customHeight="1" x14ac:dyDescent="0.25">
      <c r="A467" s="16" t="s">
        <v>199</v>
      </c>
      <c r="B467" s="14">
        <v>793</v>
      </c>
      <c r="C467" s="15" t="s">
        <v>10</v>
      </c>
      <c r="D467" s="15" t="s">
        <v>14</v>
      </c>
      <c r="E467" s="15" t="s">
        <v>11</v>
      </c>
      <c r="F467" s="15" t="s">
        <v>26</v>
      </c>
      <c r="G467" s="81">
        <f t="shared" si="187"/>
        <v>75000</v>
      </c>
      <c r="H467" s="81">
        <f t="shared" si="187"/>
        <v>75000</v>
      </c>
      <c r="I467" s="81">
        <f t="shared" si="187"/>
        <v>75000</v>
      </c>
      <c r="J467" s="136"/>
      <c r="K467" s="69"/>
      <c r="L467" s="69"/>
      <c r="M467" s="69"/>
      <c r="N467" s="69"/>
      <c r="O467" s="69"/>
      <c r="P467" s="69"/>
      <c r="Q467" s="69"/>
      <c r="R467" s="69"/>
    </row>
    <row r="468" spans="1:20" ht="30.75" customHeight="1" x14ac:dyDescent="0.25">
      <c r="A468" s="16" t="s">
        <v>27</v>
      </c>
      <c r="B468" s="14">
        <v>793</v>
      </c>
      <c r="C468" s="15" t="s">
        <v>10</v>
      </c>
      <c r="D468" s="15" t="s">
        <v>14</v>
      </c>
      <c r="E468" s="15" t="s">
        <v>11</v>
      </c>
      <c r="F468" s="15" t="s">
        <v>28</v>
      </c>
      <c r="G468" s="81">
        <v>75000</v>
      </c>
      <c r="H468" s="81">
        <v>75000</v>
      </c>
      <c r="I468" s="81">
        <v>75000</v>
      </c>
      <c r="J468" s="136"/>
      <c r="K468" s="69"/>
      <c r="L468" s="69"/>
      <c r="M468" s="69"/>
      <c r="N468" s="69"/>
      <c r="O468" s="69"/>
      <c r="P468" s="69"/>
      <c r="Q468" s="69"/>
      <c r="R468" s="69"/>
    </row>
    <row r="469" spans="1:20" ht="54.75" customHeight="1" x14ac:dyDescent="0.25">
      <c r="A469" s="40" t="s">
        <v>456</v>
      </c>
      <c r="B469" s="14">
        <v>793</v>
      </c>
      <c r="C469" s="15" t="s">
        <v>10</v>
      </c>
      <c r="D469" s="15" t="s">
        <v>14</v>
      </c>
      <c r="E469" s="15" t="s">
        <v>455</v>
      </c>
      <c r="F469" s="15"/>
      <c r="G469" s="81">
        <f t="shared" ref="G469:I470" si="188">G470</f>
        <v>10000</v>
      </c>
      <c r="H469" s="81">
        <f t="shared" si="188"/>
        <v>10000</v>
      </c>
      <c r="I469" s="81">
        <f t="shared" si="188"/>
        <v>10000</v>
      </c>
      <c r="J469" s="136"/>
      <c r="K469" s="69"/>
      <c r="L469" s="69"/>
      <c r="M469" s="69"/>
      <c r="N469" s="69"/>
      <c r="O469" s="69"/>
      <c r="P469" s="69"/>
      <c r="Q469" s="69"/>
      <c r="R469" s="69"/>
    </row>
    <row r="470" spans="1:20" ht="18" customHeight="1" x14ac:dyDescent="0.25">
      <c r="A470" s="16" t="s">
        <v>199</v>
      </c>
      <c r="B470" s="14">
        <v>793</v>
      </c>
      <c r="C470" s="15" t="s">
        <v>10</v>
      </c>
      <c r="D470" s="15" t="s">
        <v>14</v>
      </c>
      <c r="E470" s="15" t="s">
        <v>455</v>
      </c>
      <c r="F470" s="15" t="s">
        <v>26</v>
      </c>
      <c r="G470" s="81">
        <f t="shared" si="188"/>
        <v>10000</v>
      </c>
      <c r="H470" s="81">
        <f t="shared" si="188"/>
        <v>10000</v>
      </c>
      <c r="I470" s="81">
        <f t="shared" si="188"/>
        <v>10000</v>
      </c>
      <c r="J470" s="136"/>
      <c r="K470" s="69"/>
      <c r="L470" s="69"/>
      <c r="M470" s="69"/>
      <c r="N470" s="69"/>
      <c r="O470" s="69"/>
      <c r="P470" s="69"/>
      <c r="Q470" s="69"/>
      <c r="R470" s="69"/>
    </row>
    <row r="471" spans="1:20" ht="30.75" customHeight="1" x14ac:dyDescent="0.25">
      <c r="A471" s="16" t="s">
        <v>27</v>
      </c>
      <c r="B471" s="14">
        <v>793</v>
      </c>
      <c r="C471" s="15" t="s">
        <v>10</v>
      </c>
      <c r="D471" s="15" t="s">
        <v>14</v>
      </c>
      <c r="E471" s="15" t="s">
        <v>455</v>
      </c>
      <c r="F471" s="15" t="s">
        <v>28</v>
      </c>
      <c r="G471" s="81">
        <v>10000</v>
      </c>
      <c r="H471" s="81">
        <v>10000</v>
      </c>
      <c r="I471" s="81">
        <v>10000</v>
      </c>
      <c r="J471" s="136"/>
      <c r="K471" s="69"/>
      <c r="L471" s="69"/>
      <c r="M471" s="69"/>
      <c r="N471" s="69"/>
      <c r="O471" s="69"/>
      <c r="P471" s="69"/>
      <c r="Q471" s="69"/>
      <c r="R471" s="69"/>
    </row>
    <row r="472" spans="1:20" s="289" customFormat="1" ht="31.5" hidden="1" customHeight="1" x14ac:dyDescent="0.25">
      <c r="A472" s="78" t="s">
        <v>374</v>
      </c>
      <c r="B472" s="79" t="s">
        <v>301</v>
      </c>
      <c r="C472" s="79" t="s">
        <v>10</v>
      </c>
      <c r="D472" s="79" t="s">
        <v>14</v>
      </c>
      <c r="E472" s="79" t="s">
        <v>181</v>
      </c>
      <c r="F472" s="133"/>
      <c r="G472" s="81">
        <f>G473</f>
        <v>0</v>
      </c>
      <c r="H472" s="81">
        <f t="shared" ref="H472:I472" si="189">H473</f>
        <v>0</v>
      </c>
      <c r="I472" s="81">
        <f t="shared" si="189"/>
        <v>0</v>
      </c>
      <c r="J472" s="129" t="s">
        <v>257</v>
      </c>
      <c r="P472" s="290"/>
      <c r="Q472" s="129"/>
      <c r="R472" s="129"/>
      <c r="S472" s="129"/>
      <c r="T472" s="107">
        <f>прил4.!G343+прил4.!G379+прил4.!G671+прил4.!N680+прил4.!N688</f>
        <v>28919230.900000002</v>
      </c>
    </row>
    <row r="473" spans="1:20" s="292" customFormat="1" ht="48.75" hidden="1" customHeight="1" x14ac:dyDescent="0.25">
      <c r="A473" s="78" t="s">
        <v>527</v>
      </c>
      <c r="B473" s="79" t="s">
        <v>301</v>
      </c>
      <c r="C473" s="79" t="s">
        <v>10</v>
      </c>
      <c r="D473" s="79" t="s">
        <v>14</v>
      </c>
      <c r="E473" s="79" t="s">
        <v>526</v>
      </c>
      <c r="F473" s="133"/>
      <c r="G473" s="81">
        <f t="shared" ref="G473:I474" si="190">G474</f>
        <v>0</v>
      </c>
      <c r="H473" s="81">
        <f t="shared" si="190"/>
        <v>0</v>
      </c>
      <c r="I473" s="81">
        <f t="shared" si="190"/>
        <v>0</v>
      </c>
      <c r="J473" s="291" t="s">
        <v>259</v>
      </c>
      <c r="P473" s="291"/>
      <c r="Q473" s="291"/>
      <c r="R473" s="291"/>
      <c r="S473" s="291"/>
      <c r="T473" s="291">
        <f>G472-T472</f>
        <v>-28919230.900000002</v>
      </c>
    </row>
    <row r="474" spans="1:20" s="292" customFormat="1" hidden="1" x14ac:dyDescent="0.25">
      <c r="A474" s="78" t="s">
        <v>224</v>
      </c>
      <c r="B474" s="79" t="s">
        <v>301</v>
      </c>
      <c r="C474" s="79" t="s">
        <v>10</v>
      </c>
      <c r="D474" s="79" t="s">
        <v>14</v>
      </c>
      <c r="E474" s="79" t="s">
        <v>526</v>
      </c>
      <c r="F474" s="79" t="s">
        <v>87</v>
      </c>
      <c r="G474" s="81">
        <f t="shared" si="190"/>
        <v>0</v>
      </c>
      <c r="H474" s="81">
        <f t="shared" si="190"/>
        <v>0</v>
      </c>
      <c r="I474" s="81">
        <f t="shared" si="190"/>
        <v>0</v>
      </c>
      <c r="J474" s="291" t="s">
        <v>260</v>
      </c>
      <c r="P474" s="291"/>
      <c r="Q474" s="291"/>
      <c r="R474" s="291"/>
      <c r="S474" s="291"/>
      <c r="T474" s="291"/>
    </row>
    <row r="475" spans="1:20" s="292" customFormat="1" ht="26.4" hidden="1" x14ac:dyDescent="0.25">
      <c r="A475" s="78" t="s">
        <v>88</v>
      </c>
      <c r="B475" s="79" t="s">
        <v>301</v>
      </c>
      <c r="C475" s="79" t="s">
        <v>10</v>
      </c>
      <c r="D475" s="79" t="s">
        <v>14</v>
      </c>
      <c r="E475" s="79" t="s">
        <v>526</v>
      </c>
      <c r="F475" s="79" t="s">
        <v>89</v>
      </c>
      <c r="G475" s="81"/>
      <c r="H475" s="81"/>
      <c r="I475" s="81"/>
      <c r="J475" s="291" t="s">
        <v>261</v>
      </c>
      <c r="P475" s="291"/>
      <c r="Q475" s="291"/>
      <c r="R475" s="291"/>
      <c r="S475" s="291"/>
      <c r="T475" s="291"/>
    </row>
    <row r="476" spans="1:20" ht="25.5" customHeight="1" x14ac:dyDescent="0.25">
      <c r="A476" s="16" t="s">
        <v>205</v>
      </c>
      <c r="B476" s="14">
        <v>793</v>
      </c>
      <c r="C476" s="15" t="s">
        <v>10</v>
      </c>
      <c r="D476" s="15" t="s">
        <v>14</v>
      </c>
      <c r="E476" s="15" t="s">
        <v>159</v>
      </c>
      <c r="F476" s="15"/>
      <c r="G476" s="81">
        <f>G477</f>
        <v>30267469.169999998</v>
      </c>
      <c r="H476" s="81">
        <f t="shared" ref="H476:I476" si="191">H477</f>
        <v>30267469.169999998</v>
      </c>
      <c r="I476" s="81">
        <f t="shared" si="191"/>
        <v>30267469.169999998</v>
      </c>
      <c r="J476" s="136"/>
      <c r="K476" s="69"/>
      <c r="L476" s="69"/>
      <c r="M476" s="69"/>
      <c r="N476" s="69"/>
      <c r="O476" s="69"/>
      <c r="P476" s="69"/>
      <c r="Q476" s="69"/>
      <c r="R476" s="69"/>
    </row>
    <row r="477" spans="1:20" ht="25.5" customHeight="1" x14ac:dyDescent="0.25">
      <c r="A477" s="16" t="s">
        <v>35</v>
      </c>
      <c r="B477" s="14">
        <v>793</v>
      </c>
      <c r="C477" s="15" t="s">
        <v>10</v>
      </c>
      <c r="D477" s="15" t="s">
        <v>14</v>
      </c>
      <c r="E477" s="15" t="s">
        <v>184</v>
      </c>
      <c r="F477" s="15"/>
      <c r="G477" s="81">
        <f>G478+G480+G482</f>
        <v>30267469.169999998</v>
      </c>
      <c r="H477" s="81">
        <f t="shared" ref="H477:I477" si="192">H478+H480+H482</f>
        <v>30267469.169999998</v>
      </c>
      <c r="I477" s="81">
        <f t="shared" si="192"/>
        <v>30267469.169999998</v>
      </c>
      <c r="J477" s="136"/>
      <c r="K477" s="69"/>
      <c r="L477" s="69"/>
      <c r="M477" s="69"/>
      <c r="N477" s="69"/>
      <c r="O477" s="69"/>
      <c r="P477" s="210"/>
      <c r="Q477" s="180"/>
      <c r="R477" s="69"/>
    </row>
    <row r="478" spans="1:20" ht="52.8" x14ac:dyDescent="0.25">
      <c r="A478" s="16" t="s">
        <v>198</v>
      </c>
      <c r="B478" s="14">
        <v>793</v>
      </c>
      <c r="C478" s="15" t="s">
        <v>10</v>
      </c>
      <c r="D478" s="15" t="s">
        <v>14</v>
      </c>
      <c r="E478" s="15" t="s">
        <v>184</v>
      </c>
      <c r="F478" s="15" t="s">
        <v>41</v>
      </c>
      <c r="G478" s="70">
        <f>G479</f>
        <v>17362698.169999998</v>
      </c>
      <c r="H478" s="70">
        <f t="shared" ref="H478:I478" si="193">H479</f>
        <v>17362698.169999998</v>
      </c>
      <c r="I478" s="70">
        <f t="shared" si="193"/>
        <v>17362698.169999998</v>
      </c>
      <c r="J478" s="136"/>
      <c r="K478" s="69"/>
      <c r="L478" s="69"/>
      <c r="M478" s="69"/>
      <c r="N478" s="69"/>
      <c r="O478" s="69"/>
      <c r="P478" s="69"/>
      <c r="Q478" s="69"/>
      <c r="R478" s="69"/>
    </row>
    <row r="479" spans="1:20" x14ac:dyDescent="0.25">
      <c r="A479" s="16" t="s">
        <v>201</v>
      </c>
      <c r="B479" s="14">
        <v>793</v>
      </c>
      <c r="C479" s="15" t="s">
        <v>10</v>
      </c>
      <c r="D479" s="15" t="s">
        <v>14</v>
      </c>
      <c r="E479" s="15" t="s">
        <v>184</v>
      </c>
      <c r="F479" s="15" t="s">
        <v>200</v>
      </c>
      <c r="G479" s="70">
        <f>13215590.1+156000+3991108.07</f>
        <v>17362698.169999998</v>
      </c>
      <c r="H479" s="70">
        <f>13215590.1+156000+3991108.07</f>
        <v>17362698.169999998</v>
      </c>
      <c r="I479" s="70">
        <f>13215590.1+156000+3991108.07</f>
        <v>17362698.169999998</v>
      </c>
      <c r="J479" s="136"/>
      <c r="K479" s="69"/>
      <c r="L479" s="69"/>
      <c r="M479" s="69"/>
      <c r="N479" s="69"/>
      <c r="O479" s="69"/>
      <c r="P479" s="69"/>
      <c r="Q479" s="69"/>
      <c r="R479" s="69"/>
    </row>
    <row r="480" spans="1:20" ht="17.25" customHeight="1" x14ac:dyDescent="0.25">
      <c r="A480" s="16" t="s">
        <v>199</v>
      </c>
      <c r="B480" s="14">
        <v>793</v>
      </c>
      <c r="C480" s="15" t="s">
        <v>10</v>
      </c>
      <c r="D480" s="15" t="s">
        <v>14</v>
      </c>
      <c r="E480" s="15" t="s">
        <v>184</v>
      </c>
      <c r="F480" s="15" t="s">
        <v>26</v>
      </c>
      <c r="G480" s="70">
        <f>G481</f>
        <v>12714771</v>
      </c>
      <c r="H480" s="70">
        <f>H481</f>
        <v>12714771</v>
      </c>
      <c r="I480" s="70">
        <f>I481</f>
        <v>12714771</v>
      </c>
      <c r="J480" s="136"/>
      <c r="K480" s="69"/>
      <c r="L480" s="69"/>
      <c r="M480" s="69"/>
      <c r="N480" s="69"/>
      <c r="O480" s="69"/>
      <c r="P480" s="69"/>
      <c r="Q480" s="69"/>
      <c r="R480" s="69"/>
    </row>
    <row r="481" spans="1:18" ht="24" customHeight="1" x14ac:dyDescent="0.25">
      <c r="A481" s="16" t="s">
        <v>27</v>
      </c>
      <c r="B481" s="14">
        <v>793</v>
      </c>
      <c r="C481" s="15" t="s">
        <v>10</v>
      </c>
      <c r="D481" s="15" t="s">
        <v>14</v>
      </c>
      <c r="E481" s="15" t="s">
        <v>184</v>
      </c>
      <c r="F481" s="15" t="s">
        <v>28</v>
      </c>
      <c r="G481" s="70">
        <f>12714771</f>
        <v>12714771</v>
      </c>
      <c r="H481" s="70">
        <f t="shared" ref="H481:I481" si="194">12714771</f>
        <v>12714771</v>
      </c>
      <c r="I481" s="70">
        <f t="shared" si="194"/>
        <v>12714771</v>
      </c>
      <c r="J481" s="136"/>
      <c r="K481" s="69"/>
      <c r="L481" s="69"/>
      <c r="M481" s="69"/>
      <c r="N481" s="69"/>
      <c r="O481" s="69"/>
      <c r="P481" s="69"/>
      <c r="Q481" s="69"/>
      <c r="R481" s="69"/>
    </row>
    <row r="482" spans="1:18" ht="18.75" customHeight="1" x14ac:dyDescent="0.25">
      <c r="A482" s="16" t="s">
        <v>43</v>
      </c>
      <c r="B482" s="14">
        <v>793</v>
      </c>
      <c r="C482" s="15" t="s">
        <v>10</v>
      </c>
      <c r="D482" s="15" t="s">
        <v>14</v>
      </c>
      <c r="E482" s="15" t="s">
        <v>184</v>
      </c>
      <c r="F482" s="15" t="s">
        <v>44</v>
      </c>
      <c r="G482" s="70">
        <f>G483</f>
        <v>190000</v>
      </c>
      <c r="H482" s="70">
        <f t="shared" ref="H482:I482" si="195">H483</f>
        <v>190000</v>
      </c>
      <c r="I482" s="70">
        <f t="shared" si="195"/>
        <v>190000</v>
      </c>
      <c r="J482" s="136"/>
      <c r="K482" s="69"/>
      <c r="L482" s="69"/>
      <c r="M482" s="69"/>
      <c r="N482" s="69"/>
      <c r="O482" s="69"/>
      <c r="P482" s="69"/>
      <c r="Q482" s="69"/>
      <c r="R482" s="69"/>
    </row>
    <row r="483" spans="1:18" ht="17.25" customHeight="1" x14ac:dyDescent="0.25">
      <c r="A483" s="16" t="s">
        <v>83</v>
      </c>
      <c r="B483" s="14">
        <v>793</v>
      </c>
      <c r="C483" s="15" t="s">
        <v>10</v>
      </c>
      <c r="D483" s="15" t="s">
        <v>14</v>
      </c>
      <c r="E483" s="15" t="s">
        <v>184</v>
      </c>
      <c r="F483" s="15" t="s">
        <v>46</v>
      </c>
      <c r="G483" s="70">
        <f>190000</f>
        <v>190000</v>
      </c>
      <c r="H483" s="70">
        <f t="shared" ref="H483:I483" si="196">190000</f>
        <v>190000</v>
      </c>
      <c r="I483" s="70">
        <f t="shared" si="196"/>
        <v>190000</v>
      </c>
      <c r="J483" s="136"/>
      <c r="K483" s="69"/>
      <c r="L483" s="69"/>
      <c r="M483" s="69"/>
      <c r="N483" s="69"/>
      <c r="O483" s="69"/>
      <c r="P483" s="69"/>
      <c r="Q483" s="69"/>
      <c r="R483" s="69"/>
    </row>
    <row r="484" spans="1:18" x14ac:dyDescent="0.25">
      <c r="A484" s="47" t="s">
        <v>94</v>
      </c>
      <c r="B484" s="200">
        <v>793</v>
      </c>
      <c r="C484" s="20" t="s">
        <v>19</v>
      </c>
      <c r="D484" s="20"/>
      <c r="E484" s="20"/>
      <c r="F484" s="20"/>
      <c r="G484" s="248">
        <f>G485</f>
        <v>3383267.5</v>
      </c>
      <c r="H484" s="248">
        <f t="shared" ref="H484:I484" si="197">H485</f>
        <v>3713387.5</v>
      </c>
      <c r="I484" s="248">
        <f t="shared" si="197"/>
        <v>3849969</v>
      </c>
      <c r="J484" s="201">
        <f>G489+G491</f>
        <v>3383267.5</v>
      </c>
      <c r="K484" s="69"/>
      <c r="L484" s="69"/>
      <c r="M484" s="69"/>
      <c r="N484" s="69"/>
      <c r="O484" s="69"/>
      <c r="P484" s="69"/>
      <c r="Q484" s="69"/>
      <c r="R484" s="69"/>
    </row>
    <row r="485" spans="1:18" x14ac:dyDescent="0.25">
      <c r="A485" s="40" t="s">
        <v>95</v>
      </c>
      <c r="B485" s="14">
        <v>793</v>
      </c>
      <c r="C485" s="15" t="s">
        <v>19</v>
      </c>
      <c r="D485" s="15" t="s">
        <v>49</v>
      </c>
      <c r="E485" s="15"/>
      <c r="F485" s="15"/>
      <c r="G485" s="81">
        <f>G486</f>
        <v>3383267.5</v>
      </c>
      <c r="H485" s="81">
        <f t="shared" ref="H485:I485" si="198">H486</f>
        <v>3713387.5</v>
      </c>
      <c r="I485" s="81">
        <f t="shared" si="198"/>
        <v>3849969</v>
      </c>
      <c r="J485" s="136"/>
      <c r="K485" s="69"/>
      <c r="L485" s="69"/>
      <c r="M485" s="69"/>
      <c r="N485" s="69"/>
      <c r="O485" s="69"/>
      <c r="P485" s="69"/>
      <c r="Q485" s="69"/>
      <c r="R485" s="69"/>
    </row>
    <row r="486" spans="1:18" s="28" customFormat="1" x14ac:dyDescent="0.25">
      <c r="A486" s="16" t="s">
        <v>353</v>
      </c>
      <c r="B486" s="120">
        <v>793</v>
      </c>
      <c r="C486" s="15" t="s">
        <v>19</v>
      </c>
      <c r="D486" s="15" t="s">
        <v>49</v>
      </c>
      <c r="E486" s="15" t="s">
        <v>352</v>
      </c>
      <c r="F486" s="39"/>
      <c r="G486" s="81">
        <f>G487</f>
        <v>3383267.5</v>
      </c>
      <c r="H486" s="81">
        <f t="shared" ref="H486:I486" si="199">H487</f>
        <v>3713387.5</v>
      </c>
      <c r="I486" s="81">
        <f t="shared" si="199"/>
        <v>3849969</v>
      </c>
      <c r="J486" s="136"/>
      <c r="K486" s="202"/>
      <c r="L486" s="202"/>
      <c r="M486" s="202"/>
      <c r="N486" s="202"/>
      <c r="O486" s="202"/>
      <c r="P486" s="202"/>
      <c r="Q486" s="202"/>
      <c r="R486" s="202"/>
    </row>
    <row r="487" spans="1:18" s="28" customFormat="1" ht="66.75" customHeight="1" x14ac:dyDescent="0.25">
      <c r="A487" s="276" t="s">
        <v>440</v>
      </c>
      <c r="B487" s="120">
        <v>793</v>
      </c>
      <c r="C487" s="79" t="s">
        <v>19</v>
      </c>
      <c r="D487" s="79" t="s">
        <v>49</v>
      </c>
      <c r="E487" s="79" t="s">
        <v>439</v>
      </c>
      <c r="F487" s="39"/>
      <c r="G487" s="70">
        <f>G488+G490</f>
        <v>3383267.5</v>
      </c>
      <c r="H487" s="70">
        <f t="shared" ref="H487:I487" si="200">H488+H490</f>
        <v>3713387.5</v>
      </c>
      <c r="I487" s="70">
        <f t="shared" si="200"/>
        <v>3849969</v>
      </c>
      <c r="J487" s="136"/>
      <c r="K487" s="202"/>
      <c r="L487" s="202"/>
      <c r="M487" s="202"/>
      <c r="N487" s="202"/>
      <c r="O487" s="202"/>
      <c r="P487" s="202"/>
      <c r="Q487" s="202"/>
      <c r="R487" s="202"/>
    </row>
    <row r="488" spans="1:18" ht="22.5" customHeight="1" x14ac:dyDescent="0.25">
      <c r="A488" s="78" t="s">
        <v>40</v>
      </c>
      <c r="B488" s="120">
        <v>793</v>
      </c>
      <c r="C488" s="15" t="s">
        <v>19</v>
      </c>
      <c r="D488" s="15" t="s">
        <v>49</v>
      </c>
      <c r="E488" s="15" t="s">
        <v>439</v>
      </c>
      <c r="F488" s="15" t="s">
        <v>41</v>
      </c>
      <c r="G488" s="70">
        <f t="shared" ref="G488:M490" si="201">G489</f>
        <v>3285768</v>
      </c>
      <c r="H488" s="70">
        <f t="shared" si="201"/>
        <v>3604387.5</v>
      </c>
      <c r="I488" s="70">
        <f t="shared" si="201"/>
        <v>3737469</v>
      </c>
      <c r="J488" s="70">
        <f t="shared" si="201"/>
        <v>0</v>
      </c>
      <c r="K488" s="70">
        <f t="shared" si="201"/>
        <v>0</v>
      </c>
      <c r="L488" s="70">
        <f t="shared" si="201"/>
        <v>0</v>
      </c>
      <c r="M488" s="70">
        <f t="shared" si="201"/>
        <v>0</v>
      </c>
      <c r="N488" s="69"/>
      <c r="O488" s="69"/>
      <c r="P488" s="69"/>
      <c r="Q488" s="69"/>
      <c r="R488" s="69"/>
    </row>
    <row r="489" spans="1:18" x14ac:dyDescent="0.25">
      <c r="A489" s="78" t="s">
        <v>199</v>
      </c>
      <c r="B489" s="120">
        <v>793</v>
      </c>
      <c r="C489" s="15" t="s">
        <v>19</v>
      </c>
      <c r="D489" s="15" t="s">
        <v>49</v>
      </c>
      <c r="E489" s="15" t="s">
        <v>439</v>
      </c>
      <c r="F489" s="15" t="s">
        <v>42</v>
      </c>
      <c r="G489" s="70">
        <v>3285768</v>
      </c>
      <c r="H489" s="81">
        <v>3604387.5</v>
      </c>
      <c r="I489" s="81">
        <v>3737469</v>
      </c>
      <c r="J489" s="136"/>
      <c r="K489" s="69"/>
      <c r="L489" s="69"/>
      <c r="M489" s="69"/>
      <c r="N489" s="69"/>
      <c r="O489" s="69"/>
      <c r="P489" s="69"/>
      <c r="Q489" s="69"/>
      <c r="R489" s="69"/>
    </row>
    <row r="490" spans="1:18" ht="25.2" customHeight="1" x14ac:dyDescent="0.25">
      <c r="A490" s="78" t="s">
        <v>40</v>
      </c>
      <c r="B490" s="120">
        <v>793</v>
      </c>
      <c r="C490" s="15" t="s">
        <v>19</v>
      </c>
      <c r="D490" s="15" t="s">
        <v>49</v>
      </c>
      <c r="E490" s="15" t="s">
        <v>439</v>
      </c>
      <c r="F490" s="79" t="s">
        <v>26</v>
      </c>
      <c r="G490" s="70">
        <f t="shared" si="201"/>
        <v>97499.5</v>
      </c>
      <c r="H490" s="70">
        <f t="shared" si="201"/>
        <v>109000</v>
      </c>
      <c r="I490" s="70">
        <f t="shared" si="201"/>
        <v>112500</v>
      </c>
      <c r="J490" s="136"/>
      <c r="K490" s="69"/>
      <c r="L490" s="69"/>
      <c r="M490" s="69"/>
      <c r="N490" s="69"/>
      <c r="O490" s="69"/>
      <c r="P490" s="69"/>
      <c r="Q490" s="69"/>
      <c r="R490" s="69"/>
    </row>
    <row r="491" spans="1:18" ht="16.95" customHeight="1" x14ac:dyDescent="0.25">
      <c r="A491" s="78" t="s">
        <v>199</v>
      </c>
      <c r="B491" s="120">
        <v>793</v>
      </c>
      <c r="C491" s="15" t="s">
        <v>19</v>
      </c>
      <c r="D491" s="15" t="s">
        <v>49</v>
      </c>
      <c r="E491" s="15" t="s">
        <v>439</v>
      </c>
      <c r="F491" s="79" t="s">
        <v>28</v>
      </c>
      <c r="G491" s="70">
        <v>97499.5</v>
      </c>
      <c r="H491" s="70">
        <v>109000</v>
      </c>
      <c r="I491" s="70">
        <v>112500</v>
      </c>
      <c r="J491" s="136"/>
      <c r="K491" s="69"/>
      <c r="L491" s="69"/>
      <c r="M491" s="69"/>
      <c r="N491" s="69"/>
      <c r="O491" s="69"/>
      <c r="P491" s="69"/>
      <c r="Q491" s="69"/>
      <c r="R491" s="69"/>
    </row>
    <row r="492" spans="1:18" ht="38.4" customHeight="1" x14ac:dyDescent="0.25">
      <c r="A492" s="11" t="s">
        <v>96</v>
      </c>
      <c r="B492" s="6">
        <v>793</v>
      </c>
      <c r="C492" s="7" t="s">
        <v>49</v>
      </c>
      <c r="D492" s="7"/>
      <c r="E492" s="7"/>
      <c r="F492" s="7"/>
      <c r="G492" s="38">
        <f>G493+G515+G498</f>
        <v>2244500</v>
      </c>
      <c r="H492" s="38">
        <f>H493+H515+H498</f>
        <v>2254664</v>
      </c>
      <c r="I492" s="38">
        <f>I493+I515+I498</f>
        <v>2254664</v>
      </c>
      <c r="J492" s="208" t="e">
        <f>#REF!+G502+#REF!+#REF!+G523</f>
        <v>#REF!</v>
      </c>
      <c r="K492" s="69"/>
      <c r="L492" s="69"/>
      <c r="M492" s="69"/>
      <c r="N492" s="69"/>
      <c r="O492" s="69"/>
      <c r="P492" s="180"/>
      <c r="Q492" s="180"/>
      <c r="R492" s="69"/>
    </row>
    <row r="493" spans="1:18" s="46" customFormat="1" ht="24.75" customHeight="1" x14ac:dyDescent="0.25">
      <c r="A493" s="40" t="s">
        <v>296</v>
      </c>
      <c r="B493" s="14">
        <v>793</v>
      </c>
      <c r="C493" s="15" t="s">
        <v>49</v>
      </c>
      <c r="D493" s="15" t="s">
        <v>79</v>
      </c>
      <c r="E493" s="15"/>
      <c r="F493" s="15"/>
      <c r="G493" s="81">
        <f>G494</f>
        <v>205000</v>
      </c>
      <c r="H493" s="81">
        <f t="shared" ref="H493:I493" si="202">H494</f>
        <v>0</v>
      </c>
      <c r="I493" s="81">
        <f t="shared" si="202"/>
        <v>0</v>
      </c>
      <c r="J493" s="136"/>
      <c r="K493" s="58"/>
      <c r="L493" s="58"/>
      <c r="M493" s="58"/>
      <c r="N493" s="58"/>
      <c r="O493" s="58"/>
      <c r="P493" s="58"/>
      <c r="Q493" s="58"/>
      <c r="R493" s="58"/>
    </row>
    <row r="494" spans="1:18" s="28" customFormat="1" ht="66" x14ac:dyDescent="0.25">
      <c r="A494" s="40" t="s">
        <v>372</v>
      </c>
      <c r="B494" s="14">
        <v>793</v>
      </c>
      <c r="C494" s="15" t="s">
        <v>49</v>
      </c>
      <c r="D494" s="15" t="s">
        <v>79</v>
      </c>
      <c r="E494" s="15" t="s">
        <v>160</v>
      </c>
      <c r="F494" s="39"/>
      <c r="G494" s="81">
        <f>G495</f>
        <v>205000</v>
      </c>
      <c r="H494" s="81">
        <f t="shared" ref="H494:I494" si="203">H495</f>
        <v>0</v>
      </c>
      <c r="I494" s="81">
        <f t="shared" si="203"/>
        <v>0</v>
      </c>
      <c r="J494" s="136"/>
      <c r="K494" s="136"/>
      <c r="L494" s="136"/>
      <c r="M494" s="136"/>
      <c r="N494" s="136"/>
      <c r="O494" s="136"/>
      <c r="P494" s="202"/>
      <c r="Q494" s="211"/>
      <c r="R494" s="202"/>
    </row>
    <row r="495" spans="1:18" ht="38.25" customHeight="1" x14ac:dyDescent="0.25">
      <c r="A495" s="16" t="s">
        <v>250</v>
      </c>
      <c r="B495" s="14">
        <v>793</v>
      </c>
      <c r="C495" s="15" t="s">
        <v>49</v>
      </c>
      <c r="D495" s="15" t="s">
        <v>79</v>
      </c>
      <c r="E495" s="15" t="s">
        <v>251</v>
      </c>
      <c r="F495" s="15"/>
      <c r="G495" s="81">
        <f>G496</f>
        <v>205000</v>
      </c>
      <c r="H495" s="81">
        <f t="shared" ref="H495:I495" si="204">H496</f>
        <v>0</v>
      </c>
      <c r="I495" s="81">
        <f t="shared" si="204"/>
        <v>0</v>
      </c>
      <c r="J495" s="136"/>
      <c r="K495" s="69"/>
      <c r="L495" s="69"/>
      <c r="M495" s="69"/>
      <c r="N495" s="69"/>
      <c r="O495" s="69"/>
      <c r="P495" s="69"/>
      <c r="Q495" s="69"/>
      <c r="R495" s="69"/>
    </row>
    <row r="496" spans="1:18" ht="28.5" customHeight="1" x14ac:dyDescent="0.25">
      <c r="A496" s="16" t="s">
        <v>27</v>
      </c>
      <c r="B496" s="14">
        <v>793</v>
      </c>
      <c r="C496" s="15" t="s">
        <v>49</v>
      </c>
      <c r="D496" s="15" t="s">
        <v>79</v>
      </c>
      <c r="E496" s="15" t="s">
        <v>251</v>
      </c>
      <c r="F496" s="15" t="s">
        <v>26</v>
      </c>
      <c r="G496" s="81">
        <f>G497</f>
        <v>205000</v>
      </c>
      <c r="H496" s="81">
        <f t="shared" ref="H496:I496" si="205">H497</f>
        <v>0</v>
      </c>
      <c r="I496" s="81">
        <f t="shared" si="205"/>
        <v>0</v>
      </c>
      <c r="J496" s="136"/>
      <c r="K496" s="69"/>
      <c r="L496" s="69"/>
      <c r="M496" s="69"/>
      <c r="N496" s="69"/>
      <c r="O496" s="69"/>
      <c r="P496" s="69"/>
      <c r="Q496" s="69"/>
      <c r="R496" s="69"/>
    </row>
    <row r="497" spans="1:18" ht="26.4" x14ac:dyDescent="0.25">
      <c r="A497" s="16" t="s">
        <v>27</v>
      </c>
      <c r="B497" s="14">
        <v>793</v>
      </c>
      <c r="C497" s="15" t="s">
        <v>49</v>
      </c>
      <c r="D497" s="15" t="s">
        <v>79</v>
      </c>
      <c r="E497" s="15" t="s">
        <v>251</v>
      </c>
      <c r="F497" s="15" t="s">
        <v>28</v>
      </c>
      <c r="G497" s="81">
        <v>205000</v>
      </c>
      <c r="H497" s="81"/>
      <c r="I497" s="81"/>
      <c r="J497" s="136"/>
      <c r="K497" s="69"/>
      <c r="L497" s="69"/>
      <c r="M497" s="69"/>
      <c r="N497" s="69"/>
      <c r="O497" s="69"/>
      <c r="P497" s="69"/>
      <c r="Q497" s="69"/>
      <c r="R497" s="69"/>
    </row>
    <row r="498" spans="1:18" s="22" customFormat="1" ht="42" customHeight="1" x14ac:dyDescent="0.25">
      <c r="A498" s="16" t="s">
        <v>297</v>
      </c>
      <c r="B498" s="14">
        <v>793</v>
      </c>
      <c r="C498" s="15" t="s">
        <v>49</v>
      </c>
      <c r="D498" s="15" t="s">
        <v>48</v>
      </c>
      <c r="E498" s="15"/>
      <c r="F498" s="15"/>
      <c r="G498" s="81">
        <f>G499</f>
        <v>1861000</v>
      </c>
      <c r="H498" s="81">
        <f t="shared" ref="H498:I498" si="206">H499</f>
        <v>1963800</v>
      </c>
      <c r="I498" s="81">
        <f t="shared" si="206"/>
        <v>1963800</v>
      </c>
      <c r="J498" s="204"/>
      <c r="K498" s="61"/>
      <c r="L498" s="61"/>
      <c r="M498" s="61"/>
      <c r="N498" s="61"/>
      <c r="O498" s="61"/>
      <c r="P498" s="182"/>
      <c r="Q498" s="182"/>
      <c r="R498" s="61"/>
    </row>
    <row r="499" spans="1:18" s="28" customFormat="1" ht="71.25" customHeight="1" x14ac:dyDescent="0.25">
      <c r="A499" s="40" t="s">
        <v>372</v>
      </c>
      <c r="B499" s="14">
        <v>793</v>
      </c>
      <c r="C499" s="15" t="s">
        <v>49</v>
      </c>
      <c r="D499" s="15" t="s">
        <v>48</v>
      </c>
      <c r="E499" s="15" t="s">
        <v>160</v>
      </c>
      <c r="F499" s="39"/>
      <c r="G499" s="81">
        <f>G500+G503+G506+G509+G512</f>
        <v>1861000</v>
      </c>
      <c r="H499" s="81">
        <f t="shared" ref="H499:I499" si="207">H500+H503+H506+H509+H512</f>
        <v>1963800</v>
      </c>
      <c r="I499" s="81">
        <f t="shared" si="207"/>
        <v>1963800</v>
      </c>
      <c r="J499" s="136"/>
      <c r="K499" s="202"/>
      <c r="L499" s="202"/>
      <c r="M499" s="202"/>
      <c r="N499" s="202"/>
      <c r="O499" s="202"/>
      <c r="P499" s="202"/>
      <c r="Q499" s="202"/>
      <c r="R499" s="202"/>
    </row>
    <row r="500" spans="1:18" ht="46.5" customHeight="1" x14ac:dyDescent="0.25">
      <c r="A500" s="57" t="s">
        <v>295</v>
      </c>
      <c r="B500" s="14">
        <v>793</v>
      </c>
      <c r="C500" s="15" t="s">
        <v>49</v>
      </c>
      <c r="D500" s="15" t="s">
        <v>48</v>
      </c>
      <c r="E500" s="15" t="s">
        <v>263</v>
      </c>
      <c r="F500" s="15"/>
      <c r="G500" s="70">
        <f>G501</f>
        <v>226200</v>
      </c>
      <c r="H500" s="70">
        <f t="shared" ref="H500:I500" si="208">H501</f>
        <v>250000</v>
      </c>
      <c r="I500" s="70">
        <f t="shared" si="208"/>
        <v>250000</v>
      </c>
      <c r="J500" s="136"/>
      <c r="K500" s="136"/>
      <c r="L500" s="136"/>
      <c r="M500" s="136"/>
      <c r="N500" s="136"/>
      <c r="O500" s="136"/>
      <c r="P500" s="69"/>
      <c r="Q500" s="69"/>
      <c r="R500" s="69"/>
    </row>
    <row r="501" spans="1:18" x14ac:dyDescent="0.25">
      <c r="A501" s="16" t="s">
        <v>199</v>
      </c>
      <c r="B501" s="14">
        <v>793</v>
      </c>
      <c r="C501" s="15" t="s">
        <v>49</v>
      </c>
      <c r="D501" s="15" t="s">
        <v>48</v>
      </c>
      <c r="E501" s="15" t="s">
        <v>263</v>
      </c>
      <c r="F501" s="15" t="s">
        <v>26</v>
      </c>
      <c r="G501" s="70">
        <f>G502</f>
        <v>226200</v>
      </c>
      <c r="H501" s="70">
        <f>H502</f>
        <v>250000</v>
      </c>
      <c r="I501" s="70">
        <f>I502</f>
        <v>250000</v>
      </c>
      <c r="J501" s="136"/>
      <c r="K501" s="69"/>
      <c r="L501" s="69"/>
      <c r="M501" s="69"/>
      <c r="N501" s="69"/>
      <c r="O501" s="69"/>
      <c r="P501" s="69"/>
      <c r="Q501" s="69"/>
      <c r="R501" s="69"/>
    </row>
    <row r="502" spans="1:18" ht="27" customHeight="1" x14ac:dyDescent="0.25">
      <c r="A502" s="16" t="s">
        <v>27</v>
      </c>
      <c r="B502" s="14">
        <v>793</v>
      </c>
      <c r="C502" s="15" t="s">
        <v>49</v>
      </c>
      <c r="D502" s="15" t="s">
        <v>48</v>
      </c>
      <c r="E502" s="15" t="s">
        <v>263</v>
      </c>
      <c r="F502" s="15" t="s">
        <v>28</v>
      </c>
      <c r="G502" s="70">
        <v>226200</v>
      </c>
      <c r="H502" s="70">
        <v>250000</v>
      </c>
      <c r="I502" s="70">
        <v>250000</v>
      </c>
      <c r="J502" s="136"/>
      <c r="K502" s="69"/>
      <c r="L502" s="69"/>
      <c r="M502" s="69"/>
      <c r="N502" s="69"/>
      <c r="O502" s="69"/>
      <c r="P502" s="69"/>
      <c r="Q502" s="69"/>
      <c r="R502" s="69"/>
    </row>
    <row r="503" spans="1:18" ht="24" customHeight="1" x14ac:dyDescent="0.25">
      <c r="A503" s="57" t="s">
        <v>388</v>
      </c>
      <c r="B503" s="14">
        <v>793</v>
      </c>
      <c r="C503" s="15" t="s">
        <v>49</v>
      </c>
      <c r="D503" s="15" t="s">
        <v>48</v>
      </c>
      <c r="E503" s="15" t="s">
        <v>387</v>
      </c>
      <c r="F503" s="15"/>
      <c r="G503" s="70">
        <f>G504</f>
        <v>1358800</v>
      </c>
      <c r="H503" s="70">
        <f t="shared" ref="H503:I503" si="209">H504</f>
        <v>1358800</v>
      </c>
      <c r="I503" s="70">
        <f t="shared" si="209"/>
        <v>1358800</v>
      </c>
      <c r="J503" s="136"/>
      <c r="K503" s="136"/>
      <c r="L503" s="136"/>
      <c r="M503" s="136"/>
      <c r="N503" s="136"/>
      <c r="O503" s="136"/>
      <c r="P503" s="69"/>
      <c r="Q503" s="69"/>
      <c r="R503" s="69"/>
    </row>
    <row r="504" spans="1:18" x14ac:dyDescent="0.25">
      <c r="A504" s="16" t="s">
        <v>199</v>
      </c>
      <c r="B504" s="14">
        <v>793</v>
      </c>
      <c r="C504" s="15" t="s">
        <v>49</v>
      </c>
      <c r="D504" s="15" t="s">
        <v>48</v>
      </c>
      <c r="E504" s="15" t="s">
        <v>387</v>
      </c>
      <c r="F504" s="15" t="s">
        <v>26</v>
      </c>
      <c r="G504" s="70">
        <f>G505</f>
        <v>1358800</v>
      </c>
      <c r="H504" s="70">
        <f>H505</f>
        <v>1358800</v>
      </c>
      <c r="I504" s="70">
        <f>I505</f>
        <v>1358800</v>
      </c>
      <c r="J504" s="136"/>
      <c r="K504" s="69"/>
      <c r="L504" s="69"/>
      <c r="M504" s="69"/>
      <c r="N504" s="69"/>
      <c r="O504" s="69"/>
      <c r="P504" s="69"/>
      <c r="Q504" s="69"/>
      <c r="R504" s="69"/>
    </row>
    <row r="505" spans="1:18" ht="26.4" x14ac:dyDescent="0.25">
      <c r="A505" s="16" t="s">
        <v>27</v>
      </c>
      <c r="B505" s="14">
        <v>793</v>
      </c>
      <c r="C505" s="15" t="s">
        <v>49</v>
      </c>
      <c r="D505" s="15" t="s">
        <v>48</v>
      </c>
      <c r="E505" s="15" t="s">
        <v>387</v>
      </c>
      <c r="F505" s="15" t="s">
        <v>28</v>
      </c>
      <c r="G505" s="70">
        <v>1358800</v>
      </c>
      <c r="H505" s="70">
        <v>1358800</v>
      </c>
      <c r="I505" s="70">
        <v>1358800</v>
      </c>
      <c r="J505" s="136"/>
      <c r="K505" s="69"/>
      <c r="L505" s="69"/>
      <c r="M505" s="69"/>
      <c r="N505" s="69"/>
      <c r="O505" s="69"/>
      <c r="P505" s="69"/>
      <c r="Q505" s="69"/>
      <c r="R505" s="69"/>
    </row>
    <row r="506" spans="1:18" ht="33" customHeight="1" x14ac:dyDescent="0.25">
      <c r="A506" s="57" t="s">
        <v>548</v>
      </c>
      <c r="B506" s="14">
        <v>793</v>
      </c>
      <c r="C506" s="15" t="s">
        <v>49</v>
      </c>
      <c r="D506" s="15" t="s">
        <v>48</v>
      </c>
      <c r="E506" s="15" t="s">
        <v>389</v>
      </c>
      <c r="F506" s="15"/>
      <c r="G506" s="70">
        <f>G507</f>
        <v>50000</v>
      </c>
      <c r="H506" s="70">
        <f t="shared" ref="H506:I506" si="210">H507</f>
        <v>50000</v>
      </c>
      <c r="I506" s="70">
        <f t="shared" si="210"/>
        <v>50000</v>
      </c>
      <c r="J506" s="136"/>
      <c r="K506" s="136"/>
      <c r="L506" s="136"/>
      <c r="M506" s="136"/>
      <c r="N506" s="136"/>
      <c r="O506" s="136"/>
      <c r="P506" s="69"/>
      <c r="Q506" s="69"/>
      <c r="R506" s="69"/>
    </row>
    <row r="507" spans="1:18" x14ac:dyDescent="0.25">
      <c r="A507" s="16" t="s">
        <v>199</v>
      </c>
      <c r="B507" s="14">
        <v>793</v>
      </c>
      <c r="C507" s="15" t="s">
        <v>49</v>
      </c>
      <c r="D507" s="15" t="s">
        <v>48</v>
      </c>
      <c r="E507" s="15" t="s">
        <v>389</v>
      </c>
      <c r="F507" s="15" t="s">
        <v>26</v>
      </c>
      <c r="G507" s="70">
        <f>G508</f>
        <v>50000</v>
      </c>
      <c r="H507" s="70">
        <f>H508</f>
        <v>50000</v>
      </c>
      <c r="I507" s="70">
        <f>I508</f>
        <v>50000</v>
      </c>
      <c r="J507" s="136"/>
      <c r="K507" s="69"/>
      <c r="L507" s="69"/>
      <c r="M507" s="69"/>
      <c r="N507" s="69"/>
      <c r="O507" s="69"/>
      <c r="P507" s="69"/>
      <c r="Q507" s="69"/>
      <c r="R507" s="69"/>
    </row>
    <row r="508" spans="1:18" ht="26.4" x14ac:dyDescent="0.25">
      <c r="A508" s="16" t="s">
        <v>27</v>
      </c>
      <c r="B508" s="14">
        <v>793</v>
      </c>
      <c r="C508" s="15" t="s">
        <v>49</v>
      </c>
      <c r="D508" s="15" t="s">
        <v>48</v>
      </c>
      <c r="E508" s="15" t="s">
        <v>389</v>
      </c>
      <c r="F508" s="15" t="s">
        <v>28</v>
      </c>
      <c r="G508" s="70">
        <v>50000</v>
      </c>
      <c r="H508" s="70">
        <v>50000</v>
      </c>
      <c r="I508" s="70">
        <v>50000</v>
      </c>
      <c r="J508" s="136"/>
      <c r="K508" s="69"/>
      <c r="L508" s="69"/>
      <c r="M508" s="69"/>
      <c r="N508" s="69"/>
      <c r="O508" s="69"/>
      <c r="P508" s="69"/>
      <c r="Q508" s="69"/>
      <c r="R508" s="69"/>
    </row>
    <row r="509" spans="1:18" ht="36.75" customHeight="1" x14ac:dyDescent="0.25">
      <c r="A509" s="57" t="s">
        <v>522</v>
      </c>
      <c r="B509" s="14">
        <v>793</v>
      </c>
      <c r="C509" s="15" t="s">
        <v>49</v>
      </c>
      <c r="D509" s="15" t="s">
        <v>48</v>
      </c>
      <c r="E509" s="15" t="s">
        <v>523</v>
      </c>
      <c r="F509" s="15"/>
      <c r="G509" s="81">
        <f>G510</f>
        <v>221000</v>
      </c>
      <c r="H509" s="70">
        <f t="shared" ref="H509:I509" si="211">H510</f>
        <v>300000</v>
      </c>
      <c r="I509" s="70">
        <f t="shared" si="211"/>
        <v>300000</v>
      </c>
      <c r="J509" s="136"/>
      <c r="K509" s="136"/>
      <c r="L509" s="136"/>
      <c r="M509" s="136"/>
      <c r="N509" s="136"/>
      <c r="O509" s="136"/>
      <c r="P509" s="69"/>
      <c r="Q509" s="69"/>
      <c r="R509" s="69"/>
    </row>
    <row r="510" spans="1:18" x14ac:dyDescent="0.25">
      <c r="A510" s="16" t="s">
        <v>199</v>
      </c>
      <c r="B510" s="14">
        <v>793</v>
      </c>
      <c r="C510" s="15" t="s">
        <v>49</v>
      </c>
      <c r="D510" s="15" t="s">
        <v>48</v>
      </c>
      <c r="E510" s="15" t="s">
        <v>523</v>
      </c>
      <c r="F510" s="15" t="s">
        <v>26</v>
      </c>
      <c r="G510" s="81">
        <f>G511</f>
        <v>221000</v>
      </c>
      <c r="H510" s="70">
        <f>H511</f>
        <v>300000</v>
      </c>
      <c r="I510" s="70">
        <f>I511</f>
        <v>300000</v>
      </c>
      <c r="J510" s="136"/>
      <c r="K510" s="69"/>
      <c r="L510" s="69"/>
      <c r="M510" s="69"/>
      <c r="N510" s="69"/>
      <c r="O510" s="69"/>
      <c r="P510" s="69"/>
      <c r="Q510" s="69"/>
      <c r="R510" s="69"/>
    </row>
    <row r="511" spans="1:18" ht="26.4" x14ac:dyDescent="0.25">
      <c r="A511" s="16" t="s">
        <v>27</v>
      </c>
      <c r="B511" s="14">
        <v>793</v>
      </c>
      <c r="C511" s="15" t="s">
        <v>49</v>
      </c>
      <c r="D511" s="15" t="s">
        <v>48</v>
      </c>
      <c r="E511" s="15" t="s">
        <v>523</v>
      </c>
      <c r="F511" s="15" t="s">
        <v>28</v>
      </c>
      <c r="G511" s="81">
        <v>221000</v>
      </c>
      <c r="H511" s="70">
        <v>300000</v>
      </c>
      <c r="I511" s="70">
        <v>300000</v>
      </c>
      <c r="J511" s="136"/>
      <c r="K511" s="69"/>
      <c r="L511" s="69"/>
      <c r="M511" s="69"/>
      <c r="N511" s="69"/>
      <c r="O511" s="69"/>
      <c r="P511" s="69"/>
      <c r="Q511" s="69"/>
      <c r="R511" s="69"/>
    </row>
    <row r="512" spans="1:18" ht="24" customHeight="1" x14ac:dyDescent="0.25">
      <c r="A512" s="57" t="s">
        <v>524</v>
      </c>
      <c r="B512" s="14">
        <v>793</v>
      </c>
      <c r="C512" s="15" t="s">
        <v>49</v>
      </c>
      <c r="D512" s="15" t="s">
        <v>48</v>
      </c>
      <c r="E512" s="15" t="s">
        <v>525</v>
      </c>
      <c r="F512" s="15"/>
      <c r="G512" s="81">
        <f>G513</f>
        <v>5000</v>
      </c>
      <c r="H512" s="70">
        <f t="shared" ref="H512:I512" si="212">H513</f>
        <v>5000</v>
      </c>
      <c r="I512" s="70">
        <f t="shared" si="212"/>
        <v>5000</v>
      </c>
      <c r="J512" s="136"/>
      <c r="K512" s="136"/>
      <c r="L512" s="136"/>
      <c r="M512" s="136"/>
      <c r="N512" s="136"/>
      <c r="O512" s="136"/>
      <c r="P512" s="69"/>
      <c r="Q512" s="69"/>
      <c r="R512" s="69"/>
    </row>
    <row r="513" spans="1:18" x14ac:dyDescent="0.25">
      <c r="A513" s="16" t="s">
        <v>199</v>
      </c>
      <c r="B513" s="14">
        <v>793</v>
      </c>
      <c r="C513" s="15" t="s">
        <v>49</v>
      </c>
      <c r="D513" s="15" t="s">
        <v>48</v>
      </c>
      <c r="E513" s="15" t="s">
        <v>525</v>
      </c>
      <c r="F513" s="15" t="s">
        <v>26</v>
      </c>
      <c r="G513" s="81">
        <f>G514</f>
        <v>5000</v>
      </c>
      <c r="H513" s="70">
        <f>H514</f>
        <v>5000</v>
      </c>
      <c r="I513" s="70">
        <f>I514</f>
        <v>5000</v>
      </c>
      <c r="J513" s="136"/>
      <c r="K513" s="69"/>
      <c r="L513" s="69"/>
      <c r="M513" s="69"/>
      <c r="N513" s="69"/>
      <c r="O513" s="69"/>
      <c r="P513" s="69"/>
      <c r="Q513" s="69"/>
      <c r="R513" s="69"/>
    </row>
    <row r="514" spans="1:18" ht="26.4" x14ac:dyDescent="0.25">
      <c r="A514" s="16" t="s">
        <v>27</v>
      </c>
      <c r="B514" s="14">
        <v>793</v>
      </c>
      <c r="C514" s="15" t="s">
        <v>49</v>
      </c>
      <c r="D514" s="15" t="s">
        <v>48</v>
      </c>
      <c r="E514" s="15" t="s">
        <v>525</v>
      </c>
      <c r="F514" s="15" t="s">
        <v>28</v>
      </c>
      <c r="G514" s="81">
        <v>5000</v>
      </c>
      <c r="H514" s="70">
        <v>5000</v>
      </c>
      <c r="I514" s="70">
        <v>5000</v>
      </c>
      <c r="J514" s="136"/>
      <c r="K514" s="69"/>
      <c r="L514" s="69"/>
      <c r="M514" s="69"/>
      <c r="N514" s="69"/>
      <c r="O514" s="69"/>
      <c r="P514" s="69"/>
      <c r="Q514" s="69"/>
      <c r="R514" s="69"/>
    </row>
    <row r="515" spans="1:18" s="22" customFormat="1" ht="26.4" x14ac:dyDescent="0.25">
      <c r="A515" s="16" t="s">
        <v>207</v>
      </c>
      <c r="B515" s="14">
        <v>793</v>
      </c>
      <c r="C515" s="15" t="s">
        <v>49</v>
      </c>
      <c r="D515" s="15" t="s">
        <v>196</v>
      </c>
      <c r="E515" s="15"/>
      <c r="F515" s="15"/>
      <c r="G515" s="81">
        <f>G516+G520</f>
        <v>178500</v>
      </c>
      <c r="H515" s="81">
        <f t="shared" ref="H515:I515" si="213">H516+H520</f>
        <v>290864</v>
      </c>
      <c r="I515" s="81">
        <f t="shared" si="213"/>
        <v>290864</v>
      </c>
      <c r="J515" s="204"/>
      <c r="K515" s="61"/>
      <c r="L515" s="61"/>
      <c r="M515" s="61"/>
      <c r="N515" s="61"/>
      <c r="O515" s="61"/>
      <c r="P515" s="61"/>
      <c r="Q515" s="61"/>
      <c r="R515" s="61"/>
    </row>
    <row r="516" spans="1:18" ht="51" customHeight="1" x14ac:dyDescent="0.25">
      <c r="A516" s="16" t="s">
        <v>369</v>
      </c>
      <c r="B516" s="14">
        <v>793</v>
      </c>
      <c r="C516" s="15" t="s">
        <v>49</v>
      </c>
      <c r="D516" s="15" t="s">
        <v>196</v>
      </c>
      <c r="E516" s="15" t="s">
        <v>161</v>
      </c>
      <c r="F516" s="15"/>
      <c r="G516" s="70">
        <f>G517</f>
        <v>100000</v>
      </c>
      <c r="H516" s="70">
        <f t="shared" ref="H516:I516" si="214">H517</f>
        <v>212364</v>
      </c>
      <c r="I516" s="70">
        <f t="shared" si="214"/>
        <v>212364</v>
      </c>
      <c r="J516" s="136"/>
      <c r="K516" s="69"/>
      <c r="L516" s="69"/>
      <c r="M516" s="69"/>
      <c r="N516" s="69"/>
      <c r="O516" s="69"/>
      <c r="P516" s="69"/>
      <c r="Q516" s="69"/>
      <c r="R516" s="69"/>
    </row>
    <row r="517" spans="1:18" ht="63.75" customHeight="1" x14ac:dyDescent="0.25">
      <c r="A517" s="16" t="s">
        <v>264</v>
      </c>
      <c r="B517" s="14">
        <v>793</v>
      </c>
      <c r="C517" s="15" t="s">
        <v>49</v>
      </c>
      <c r="D517" s="15" t="s">
        <v>196</v>
      </c>
      <c r="E517" s="15" t="s">
        <v>162</v>
      </c>
      <c r="F517" s="15"/>
      <c r="G517" s="70">
        <f t="shared" ref="G517:I518" si="215">G518</f>
        <v>100000</v>
      </c>
      <c r="H517" s="70">
        <f t="shared" si="215"/>
        <v>212364</v>
      </c>
      <c r="I517" s="70">
        <f t="shared" si="215"/>
        <v>212364</v>
      </c>
      <c r="J517" s="136"/>
      <c r="K517" s="69"/>
      <c r="L517" s="69"/>
      <c r="M517" s="69"/>
      <c r="N517" s="69"/>
      <c r="O517" s="69"/>
      <c r="P517" s="69"/>
      <c r="Q517" s="69"/>
      <c r="R517" s="69"/>
    </row>
    <row r="518" spans="1:18" ht="26.4" x14ac:dyDescent="0.25">
      <c r="A518" s="16" t="s">
        <v>253</v>
      </c>
      <c r="B518" s="14">
        <v>793</v>
      </c>
      <c r="C518" s="15" t="s">
        <v>49</v>
      </c>
      <c r="D518" s="15" t="s">
        <v>196</v>
      </c>
      <c r="E518" s="15" t="s">
        <v>162</v>
      </c>
      <c r="F518" s="15" t="s">
        <v>26</v>
      </c>
      <c r="G518" s="70">
        <f t="shared" si="215"/>
        <v>100000</v>
      </c>
      <c r="H518" s="70">
        <f t="shared" si="215"/>
        <v>212364</v>
      </c>
      <c r="I518" s="70">
        <f t="shared" si="215"/>
        <v>212364</v>
      </c>
      <c r="J518" s="136"/>
      <c r="K518" s="69"/>
      <c r="L518" s="69"/>
      <c r="M518" s="69"/>
      <c r="N518" s="69"/>
      <c r="O518" s="69"/>
      <c r="P518" s="69"/>
      <c r="Q518" s="69"/>
      <c r="R518" s="69"/>
    </row>
    <row r="519" spans="1:18" ht="30.75" customHeight="1" x14ac:dyDescent="0.25">
      <c r="A519" s="16" t="s">
        <v>27</v>
      </c>
      <c r="B519" s="14">
        <v>793</v>
      </c>
      <c r="C519" s="15" t="s">
        <v>49</v>
      </c>
      <c r="D519" s="15" t="s">
        <v>196</v>
      </c>
      <c r="E519" s="15" t="s">
        <v>162</v>
      </c>
      <c r="F519" s="15" t="s">
        <v>28</v>
      </c>
      <c r="G519" s="70">
        <v>100000</v>
      </c>
      <c r="H519" s="70">
        <f>412364-200000</f>
        <v>212364</v>
      </c>
      <c r="I519" s="70">
        <f>312364-100000</f>
        <v>212364</v>
      </c>
      <c r="J519" s="136"/>
      <c r="K519" s="69"/>
      <c r="L519" s="69"/>
      <c r="M519" s="69"/>
      <c r="N519" s="69"/>
      <c r="O519" s="69"/>
      <c r="P519" s="69"/>
      <c r="Q519" s="69"/>
      <c r="R519" s="69"/>
    </row>
    <row r="520" spans="1:18" ht="51.75" customHeight="1" x14ac:dyDescent="0.25">
      <c r="A520" s="16" t="s">
        <v>370</v>
      </c>
      <c r="B520" s="14">
        <v>793</v>
      </c>
      <c r="C520" s="15" t="s">
        <v>49</v>
      </c>
      <c r="D520" s="15" t="s">
        <v>196</v>
      </c>
      <c r="E520" s="15" t="s">
        <v>163</v>
      </c>
      <c r="F520" s="15"/>
      <c r="G520" s="70">
        <f t="shared" ref="G520:I522" si="216">G521</f>
        <v>78500</v>
      </c>
      <c r="H520" s="70">
        <f t="shared" si="216"/>
        <v>78500</v>
      </c>
      <c r="I520" s="70">
        <f t="shared" si="216"/>
        <v>78500</v>
      </c>
      <c r="J520" s="136"/>
      <c r="K520" s="69"/>
      <c r="L520" s="69"/>
      <c r="M520" s="69"/>
      <c r="N520" s="69"/>
      <c r="O520" s="69"/>
      <c r="P520" s="69"/>
      <c r="Q520" s="69"/>
      <c r="R520" s="69"/>
    </row>
    <row r="521" spans="1:18" ht="39.6" x14ac:dyDescent="0.25">
      <c r="A521" s="16" t="s">
        <v>208</v>
      </c>
      <c r="B521" s="14">
        <v>793</v>
      </c>
      <c r="C521" s="15" t="s">
        <v>49</v>
      </c>
      <c r="D521" s="15" t="s">
        <v>196</v>
      </c>
      <c r="E521" s="15" t="s">
        <v>164</v>
      </c>
      <c r="F521" s="15"/>
      <c r="G521" s="70">
        <f t="shared" si="216"/>
        <v>78500</v>
      </c>
      <c r="H521" s="70">
        <f t="shared" si="216"/>
        <v>78500</v>
      </c>
      <c r="I521" s="70">
        <f t="shared" si="216"/>
        <v>78500</v>
      </c>
      <c r="J521" s="136"/>
      <c r="K521" s="69"/>
      <c r="L521" s="69"/>
      <c r="M521" s="69"/>
      <c r="N521" s="69"/>
      <c r="O521" s="69"/>
      <c r="P521" s="69"/>
      <c r="Q521" s="69"/>
      <c r="R521" s="69"/>
    </row>
    <row r="522" spans="1:18" ht="26.4" x14ac:dyDescent="0.25">
      <c r="A522" s="16" t="s">
        <v>253</v>
      </c>
      <c r="B522" s="14">
        <v>793</v>
      </c>
      <c r="C522" s="15" t="s">
        <v>49</v>
      </c>
      <c r="D522" s="15" t="s">
        <v>196</v>
      </c>
      <c r="E522" s="15" t="s">
        <v>164</v>
      </c>
      <c r="F522" s="15" t="s">
        <v>26</v>
      </c>
      <c r="G522" s="70">
        <f t="shared" si="216"/>
        <v>78500</v>
      </c>
      <c r="H522" s="70">
        <f t="shared" si="216"/>
        <v>78500</v>
      </c>
      <c r="I522" s="70">
        <f t="shared" si="216"/>
        <v>78500</v>
      </c>
      <c r="J522" s="136"/>
      <c r="K522" s="69"/>
      <c r="L522" s="69"/>
      <c r="M522" s="69"/>
      <c r="N522" s="69"/>
      <c r="O522" s="69"/>
      <c r="P522" s="69"/>
      <c r="Q522" s="69"/>
      <c r="R522" s="69"/>
    </row>
    <row r="523" spans="1:18" ht="31.5" customHeight="1" x14ac:dyDescent="0.25">
      <c r="A523" s="16" t="s">
        <v>27</v>
      </c>
      <c r="B523" s="14">
        <v>793</v>
      </c>
      <c r="C523" s="15" t="s">
        <v>49</v>
      </c>
      <c r="D523" s="15" t="s">
        <v>196</v>
      </c>
      <c r="E523" s="15" t="s">
        <v>164</v>
      </c>
      <c r="F523" s="15" t="s">
        <v>28</v>
      </c>
      <c r="G523" s="70">
        <v>78500</v>
      </c>
      <c r="H523" s="70">
        <v>78500</v>
      </c>
      <c r="I523" s="70">
        <v>78500</v>
      </c>
      <c r="J523" s="136"/>
      <c r="K523" s="69"/>
      <c r="L523" s="69"/>
      <c r="M523" s="69"/>
      <c r="N523" s="69"/>
      <c r="O523" s="69"/>
      <c r="P523" s="69"/>
      <c r="Q523" s="69"/>
      <c r="R523" s="69"/>
    </row>
    <row r="524" spans="1:18" x14ac:dyDescent="0.25">
      <c r="A524" s="11" t="s">
        <v>62</v>
      </c>
      <c r="B524" s="6">
        <v>793</v>
      </c>
      <c r="C524" s="7" t="s">
        <v>38</v>
      </c>
      <c r="D524" s="7"/>
      <c r="E524" s="7"/>
      <c r="F524" s="7"/>
      <c r="G524" s="38">
        <f>G525+G530+G540</f>
        <v>84487259.060000002</v>
      </c>
      <c r="H524" s="38">
        <f>H525+H530+H540</f>
        <v>79556090.299999997</v>
      </c>
      <c r="I524" s="38">
        <f>I525+I530+I540</f>
        <v>95061964.900000006</v>
      </c>
      <c r="J524" s="208" t="e">
        <f>G529+#REF!+#REF!+#REF!+#REF!+G544+#REF!+G548+#REF!</f>
        <v>#REF!</v>
      </c>
      <c r="K524" s="208"/>
      <c r="L524" s="208"/>
      <c r="M524" s="208"/>
      <c r="N524" s="208"/>
      <c r="O524" s="208"/>
      <c r="P524" s="180"/>
      <c r="Q524" s="180"/>
      <c r="R524" s="69"/>
    </row>
    <row r="525" spans="1:18" s="46" customFormat="1" ht="16.5" customHeight="1" x14ac:dyDescent="0.25">
      <c r="A525" s="16" t="s">
        <v>212</v>
      </c>
      <c r="B525" s="14">
        <v>793</v>
      </c>
      <c r="C525" s="15" t="s">
        <v>38</v>
      </c>
      <c r="D525" s="15" t="s">
        <v>30</v>
      </c>
      <c r="E525" s="15"/>
      <c r="F525" s="15"/>
      <c r="G525" s="81">
        <f>G526</f>
        <v>4000000</v>
      </c>
      <c r="H525" s="81">
        <f t="shared" ref="H525:I525" si="217">H526</f>
        <v>4000000</v>
      </c>
      <c r="I525" s="81">
        <f t="shared" si="217"/>
        <v>4000000</v>
      </c>
      <c r="J525" s="136"/>
      <c r="K525" s="58"/>
      <c r="L525" s="58"/>
      <c r="M525" s="58"/>
      <c r="N525" s="58"/>
      <c r="O525" s="58"/>
      <c r="P525" s="58"/>
      <c r="Q525" s="58"/>
      <c r="R525" s="58"/>
    </row>
    <row r="526" spans="1:18" s="18" customFormat="1" ht="27" customHeight="1" x14ac:dyDescent="0.25">
      <c r="A526" s="16" t="s">
        <v>361</v>
      </c>
      <c r="B526" s="14">
        <v>793</v>
      </c>
      <c r="C526" s="15" t="s">
        <v>38</v>
      </c>
      <c r="D526" s="15" t="s">
        <v>30</v>
      </c>
      <c r="E526" s="15" t="s">
        <v>147</v>
      </c>
      <c r="F526" s="15"/>
      <c r="G526" s="81">
        <f>G527</f>
        <v>4000000</v>
      </c>
      <c r="H526" s="81">
        <f t="shared" ref="H526:I526" si="218">H527</f>
        <v>4000000</v>
      </c>
      <c r="I526" s="81">
        <f t="shared" si="218"/>
        <v>4000000</v>
      </c>
      <c r="J526" s="136"/>
      <c r="K526" s="141"/>
      <c r="L526" s="141"/>
      <c r="M526" s="141"/>
      <c r="N526" s="141"/>
      <c r="O526" s="141"/>
      <c r="P526" s="141"/>
      <c r="Q526" s="141"/>
      <c r="R526" s="141"/>
    </row>
    <row r="527" spans="1:18" s="46" customFormat="1" ht="40.5" customHeight="1" x14ac:dyDescent="0.25">
      <c r="A527" s="16" t="s">
        <v>341</v>
      </c>
      <c r="B527" s="14">
        <v>793</v>
      </c>
      <c r="C527" s="15" t="s">
        <v>38</v>
      </c>
      <c r="D527" s="15" t="s">
        <v>30</v>
      </c>
      <c r="E527" s="15" t="s">
        <v>412</v>
      </c>
      <c r="F527" s="15"/>
      <c r="G527" s="81">
        <f t="shared" ref="G527:I528" si="219">G528</f>
        <v>4000000</v>
      </c>
      <c r="H527" s="81">
        <f t="shared" si="219"/>
        <v>4000000</v>
      </c>
      <c r="I527" s="81">
        <f t="shared" si="219"/>
        <v>4000000</v>
      </c>
      <c r="J527" s="136"/>
      <c r="K527" s="58"/>
      <c r="L527" s="58"/>
      <c r="M527" s="58"/>
      <c r="N527" s="58"/>
      <c r="O527" s="58"/>
      <c r="P527" s="58"/>
      <c r="Q527" s="58"/>
      <c r="R527" s="58"/>
    </row>
    <row r="528" spans="1:18" s="46" customFormat="1" ht="27.75" customHeight="1" x14ac:dyDescent="0.25">
      <c r="A528" s="16" t="s">
        <v>253</v>
      </c>
      <c r="B528" s="14">
        <v>793</v>
      </c>
      <c r="C528" s="15" t="s">
        <v>38</v>
      </c>
      <c r="D528" s="15" t="s">
        <v>30</v>
      </c>
      <c r="E528" s="15" t="s">
        <v>412</v>
      </c>
      <c r="F528" s="15" t="s">
        <v>26</v>
      </c>
      <c r="G528" s="81">
        <f t="shared" si="219"/>
        <v>4000000</v>
      </c>
      <c r="H528" s="81">
        <f t="shared" si="219"/>
        <v>4000000</v>
      </c>
      <c r="I528" s="81">
        <f t="shared" si="219"/>
        <v>4000000</v>
      </c>
      <c r="J528" s="136"/>
      <c r="K528" s="58"/>
      <c r="L528" s="58"/>
      <c r="M528" s="58"/>
      <c r="N528" s="58"/>
      <c r="O528" s="58"/>
      <c r="P528" s="58"/>
      <c r="Q528" s="58"/>
      <c r="R528" s="58"/>
    </row>
    <row r="529" spans="1:18" s="46" customFormat="1" ht="31.5" customHeight="1" x14ac:dyDescent="0.25">
      <c r="A529" s="16" t="s">
        <v>27</v>
      </c>
      <c r="B529" s="14">
        <v>793</v>
      </c>
      <c r="C529" s="15" t="s">
        <v>38</v>
      </c>
      <c r="D529" s="15" t="s">
        <v>30</v>
      </c>
      <c r="E529" s="15" t="s">
        <v>412</v>
      </c>
      <c r="F529" s="15" t="s">
        <v>28</v>
      </c>
      <c r="G529" s="81">
        <v>4000000</v>
      </c>
      <c r="H529" s="81">
        <v>4000000</v>
      </c>
      <c r="I529" s="81">
        <v>4000000</v>
      </c>
      <c r="J529" s="136"/>
      <c r="K529" s="58"/>
      <c r="L529" s="58"/>
      <c r="M529" s="58"/>
      <c r="N529" s="58"/>
      <c r="O529" s="58"/>
      <c r="P529" s="58"/>
      <c r="Q529" s="58"/>
      <c r="R529" s="58"/>
    </row>
    <row r="530" spans="1:18" ht="19.5" customHeight="1" x14ac:dyDescent="0.25">
      <c r="A530" s="16" t="s">
        <v>97</v>
      </c>
      <c r="B530" s="14">
        <v>793</v>
      </c>
      <c r="C530" s="15" t="s">
        <v>38</v>
      </c>
      <c r="D530" s="15" t="s">
        <v>79</v>
      </c>
      <c r="E530" s="15"/>
      <c r="F530" s="15"/>
      <c r="G530" s="81">
        <f>G531+G536</f>
        <v>78842259.060000002</v>
      </c>
      <c r="H530" s="81">
        <f>H531+H536</f>
        <v>73861090.299999997</v>
      </c>
      <c r="I530" s="81">
        <f>I531+I536</f>
        <v>89366964.900000006</v>
      </c>
      <c r="J530" s="136"/>
      <c r="K530" s="69"/>
      <c r="L530" s="69"/>
      <c r="M530" s="69"/>
      <c r="N530" s="69"/>
      <c r="O530" s="69"/>
      <c r="P530" s="69"/>
      <c r="Q530" s="69"/>
      <c r="R530" s="69"/>
    </row>
    <row r="531" spans="1:18" s="18" customFormat="1" ht="27" customHeight="1" x14ac:dyDescent="0.25">
      <c r="A531" s="16" t="s">
        <v>361</v>
      </c>
      <c r="B531" s="14">
        <v>793</v>
      </c>
      <c r="C531" s="15" t="s">
        <v>38</v>
      </c>
      <c r="D531" s="15" t="s">
        <v>79</v>
      </c>
      <c r="E531" s="15" t="s">
        <v>147</v>
      </c>
      <c r="F531" s="15"/>
      <c r="G531" s="81">
        <f>G532</f>
        <v>78792259.060000002</v>
      </c>
      <c r="H531" s="81">
        <f t="shared" ref="H531:I531" si="220">H532</f>
        <v>73811090.299999997</v>
      </c>
      <c r="I531" s="81">
        <f t="shared" si="220"/>
        <v>89316964.900000006</v>
      </c>
      <c r="J531" s="136"/>
      <c r="K531" s="136"/>
      <c r="L531" s="136"/>
      <c r="M531" s="136"/>
      <c r="N531" s="136"/>
      <c r="O531" s="136"/>
      <c r="P531" s="141"/>
      <c r="Q531" s="179"/>
      <c r="R531" s="141"/>
    </row>
    <row r="532" spans="1:18" s="18" customFormat="1" ht="86.25" customHeight="1" x14ac:dyDescent="0.25">
      <c r="A532" s="16" t="s">
        <v>381</v>
      </c>
      <c r="B532" s="14">
        <v>793</v>
      </c>
      <c r="C532" s="15" t="s">
        <v>38</v>
      </c>
      <c r="D532" s="15" t="s">
        <v>79</v>
      </c>
      <c r="E532" s="15" t="s">
        <v>71</v>
      </c>
      <c r="F532" s="15"/>
      <c r="G532" s="81">
        <f>G533</f>
        <v>78792259.060000002</v>
      </c>
      <c r="H532" s="81">
        <f t="shared" ref="H532:I532" si="221">H533</f>
        <v>73811090.299999997</v>
      </c>
      <c r="I532" s="81">
        <f t="shared" si="221"/>
        <v>89316964.900000006</v>
      </c>
      <c r="J532" s="136"/>
      <c r="K532" s="141"/>
      <c r="L532" s="141"/>
      <c r="M532" s="141"/>
      <c r="N532" s="141"/>
      <c r="O532" s="141"/>
      <c r="P532" s="141"/>
      <c r="Q532" s="141"/>
      <c r="R532" s="141"/>
    </row>
    <row r="533" spans="1:18" s="18" customFormat="1" ht="76.5" customHeight="1" x14ac:dyDescent="0.25">
      <c r="A533" s="16" t="s">
        <v>381</v>
      </c>
      <c r="B533" s="14">
        <v>793</v>
      </c>
      <c r="C533" s="15" t="s">
        <v>38</v>
      </c>
      <c r="D533" s="15" t="s">
        <v>79</v>
      </c>
      <c r="E533" s="15" t="s">
        <v>323</v>
      </c>
      <c r="F533" s="15"/>
      <c r="G533" s="70">
        <f t="shared" ref="G533:I534" si="222">G534</f>
        <v>78792259.060000002</v>
      </c>
      <c r="H533" s="70">
        <f t="shared" si="222"/>
        <v>73811090.299999997</v>
      </c>
      <c r="I533" s="70">
        <f t="shared" si="222"/>
        <v>89316964.900000006</v>
      </c>
      <c r="J533" s="136"/>
      <c r="K533" s="141"/>
      <c r="L533" s="141"/>
      <c r="M533" s="141"/>
      <c r="N533" s="141"/>
      <c r="O533" s="141"/>
      <c r="P533" s="141"/>
      <c r="Q533" s="141"/>
      <c r="R533" s="141"/>
    </row>
    <row r="534" spans="1:18" s="18" customFormat="1" ht="15" customHeight="1" x14ac:dyDescent="0.25">
      <c r="A534" s="16" t="s">
        <v>199</v>
      </c>
      <c r="B534" s="14">
        <v>793</v>
      </c>
      <c r="C534" s="15" t="s">
        <v>38</v>
      </c>
      <c r="D534" s="15" t="s">
        <v>79</v>
      </c>
      <c r="E534" s="15" t="s">
        <v>323</v>
      </c>
      <c r="F534" s="15" t="s">
        <v>26</v>
      </c>
      <c r="G534" s="70">
        <f t="shared" si="222"/>
        <v>78792259.060000002</v>
      </c>
      <c r="H534" s="70">
        <f t="shared" si="222"/>
        <v>73811090.299999997</v>
      </c>
      <c r="I534" s="70">
        <f t="shared" si="222"/>
        <v>89316964.900000006</v>
      </c>
      <c r="J534" s="136"/>
      <c r="K534" s="141"/>
      <c r="L534" s="141"/>
      <c r="M534" s="141"/>
      <c r="N534" s="141"/>
      <c r="O534" s="141"/>
      <c r="P534" s="141"/>
      <c r="Q534" s="141"/>
      <c r="R534" s="141"/>
    </row>
    <row r="535" spans="1:18" s="18" customFormat="1" ht="32.25" customHeight="1" x14ac:dyDescent="0.25">
      <c r="A535" s="16" t="s">
        <v>27</v>
      </c>
      <c r="B535" s="14">
        <v>793</v>
      </c>
      <c r="C535" s="15" t="s">
        <v>38</v>
      </c>
      <c r="D535" s="15" t="s">
        <v>79</v>
      </c>
      <c r="E535" s="15" t="s">
        <v>323</v>
      </c>
      <c r="F535" s="15" t="s">
        <v>28</v>
      </c>
      <c r="G535" s="70">
        <v>78792259.060000002</v>
      </c>
      <c r="H535" s="70">
        <v>73811090.299999997</v>
      </c>
      <c r="I535" s="70">
        <v>89316964.900000006</v>
      </c>
      <c r="J535" s="136"/>
      <c r="K535" s="141"/>
      <c r="L535" s="141"/>
      <c r="M535" s="141"/>
      <c r="N535" s="141"/>
      <c r="O535" s="141"/>
      <c r="P535" s="141"/>
      <c r="Q535" s="141"/>
      <c r="R535" s="141"/>
    </row>
    <row r="536" spans="1:18" s="18" customFormat="1" ht="40.5" customHeight="1" x14ac:dyDescent="0.25">
      <c r="A536" s="16" t="s">
        <v>465</v>
      </c>
      <c r="B536" s="49">
        <v>793</v>
      </c>
      <c r="C536" s="15" t="s">
        <v>38</v>
      </c>
      <c r="D536" s="15" t="s">
        <v>79</v>
      </c>
      <c r="E536" s="15" t="s">
        <v>255</v>
      </c>
      <c r="F536" s="15"/>
      <c r="G536" s="81">
        <f>G537</f>
        <v>50000</v>
      </c>
      <c r="H536" s="70">
        <f t="shared" ref="H536:I536" si="223">H537</f>
        <v>50000</v>
      </c>
      <c r="I536" s="70">
        <f t="shared" si="223"/>
        <v>50000</v>
      </c>
      <c r="J536" s="136"/>
      <c r="K536" s="141"/>
      <c r="L536" s="141"/>
      <c r="M536" s="141"/>
      <c r="N536" s="141"/>
      <c r="O536" s="141"/>
      <c r="P536" s="141"/>
      <c r="Q536" s="141"/>
      <c r="R536" s="141"/>
    </row>
    <row r="537" spans="1:18" s="18" customFormat="1" ht="71.25" customHeight="1" x14ac:dyDescent="0.25">
      <c r="A537" s="78" t="s">
        <v>254</v>
      </c>
      <c r="B537" s="49">
        <v>793</v>
      </c>
      <c r="C537" s="15" t="s">
        <v>38</v>
      </c>
      <c r="D537" s="15" t="s">
        <v>79</v>
      </c>
      <c r="E537" s="15" t="s">
        <v>252</v>
      </c>
      <c r="F537" s="15"/>
      <c r="G537" s="70">
        <f>G538</f>
        <v>50000</v>
      </c>
      <c r="H537" s="70">
        <f t="shared" ref="H537:I537" si="224">H538</f>
        <v>50000</v>
      </c>
      <c r="I537" s="70">
        <f t="shared" si="224"/>
        <v>50000</v>
      </c>
      <c r="J537" s="136"/>
      <c r="K537" s="141"/>
      <c r="L537" s="141"/>
      <c r="M537" s="141"/>
      <c r="N537" s="141"/>
      <c r="O537" s="141"/>
      <c r="P537" s="141"/>
      <c r="Q537" s="141"/>
      <c r="R537" s="141"/>
    </row>
    <row r="538" spans="1:18" ht="30.75" customHeight="1" x14ac:dyDescent="0.25">
      <c r="A538" s="16" t="s">
        <v>25</v>
      </c>
      <c r="B538" s="49">
        <v>793</v>
      </c>
      <c r="C538" s="15" t="s">
        <v>38</v>
      </c>
      <c r="D538" s="15" t="s">
        <v>79</v>
      </c>
      <c r="E538" s="15" t="s">
        <v>252</v>
      </c>
      <c r="F538" s="15" t="s">
        <v>26</v>
      </c>
      <c r="G538" s="70">
        <f t="shared" ref="G538:I538" si="225">G539</f>
        <v>50000</v>
      </c>
      <c r="H538" s="70">
        <f t="shared" si="225"/>
        <v>50000</v>
      </c>
      <c r="I538" s="70">
        <f t="shared" si="225"/>
        <v>50000</v>
      </c>
      <c r="J538" s="136"/>
      <c r="K538" s="69"/>
      <c r="L538" s="69"/>
      <c r="M538" s="69"/>
      <c r="N538" s="69"/>
      <c r="O538" s="69"/>
      <c r="P538" s="69"/>
      <c r="Q538" s="69"/>
      <c r="R538" s="69"/>
    </row>
    <row r="539" spans="1:18" s="18" customFormat="1" ht="34.5" customHeight="1" x14ac:dyDescent="0.25">
      <c r="A539" s="16" t="s">
        <v>27</v>
      </c>
      <c r="B539" s="49">
        <v>793</v>
      </c>
      <c r="C539" s="15" t="s">
        <v>38</v>
      </c>
      <c r="D539" s="15" t="s">
        <v>79</v>
      </c>
      <c r="E539" s="15" t="s">
        <v>252</v>
      </c>
      <c r="F539" s="15" t="s">
        <v>28</v>
      </c>
      <c r="G539" s="70">
        <v>50000</v>
      </c>
      <c r="H539" s="70">
        <v>50000</v>
      </c>
      <c r="I539" s="70">
        <v>50000</v>
      </c>
      <c r="J539" s="136" t="e">
        <f>G539+#REF!+#REF!+#REF!</f>
        <v>#REF!</v>
      </c>
      <c r="K539" s="141"/>
      <c r="L539" s="141"/>
      <c r="M539" s="141"/>
      <c r="N539" s="141"/>
      <c r="O539" s="141"/>
      <c r="P539" s="141"/>
      <c r="Q539" s="141"/>
      <c r="R539" s="141"/>
    </row>
    <row r="540" spans="1:18" s="22" customFormat="1" ht="18.75" customHeight="1" x14ac:dyDescent="0.25">
      <c r="A540" s="34" t="s">
        <v>63</v>
      </c>
      <c r="B540" s="35">
        <v>793</v>
      </c>
      <c r="C540" s="36" t="s">
        <v>38</v>
      </c>
      <c r="D540" s="36" t="s">
        <v>64</v>
      </c>
      <c r="E540" s="36"/>
      <c r="F540" s="35"/>
      <c r="G540" s="127">
        <f>G541+G545</f>
        <v>1645000</v>
      </c>
      <c r="H540" s="127">
        <f>H541+H545</f>
        <v>1695000</v>
      </c>
      <c r="I540" s="127">
        <f>I541+I545</f>
        <v>1695000</v>
      </c>
      <c r="J540" s="204"/>
      <c r="K540" s="204"/>
      <c r="L540" s="204"/>
      <c r="M540" s="204"/>
      <c r="N540" s="204"/>
      <c r="O540" s="204"/>
      <c r="P540" s="61"/>
      <c r="Q540" s="61"/>
      <c r="R540" s="61"/>
    </row>
    <row r="541" spans="1:18" ht="32.25" customHeight="1" x14ac:dyDescent="0.25">
      <c r="A541" s="37" t="s">
        <v>360</v>
      </c>
      <c r="B541" s="14">
        <v>793</v>
      </c>
      <c r="C541" s="15" t="s">
        <v>38</v>
      </c>
      <c r="D541" s="15" t="s">
        <v>64</v>
      </c>
      <c r="E541" s="14" t="s">
        <v>153</v>
      </c>
      <c r="F541" s="14"/>
      <c r="G541" s="81">
        <f>G542</f>
        <v>1645000</v>
      </c>
      <c r="H541" s="81">
        <f t="shared" ref="H541:I541" si="226">H542</f>
        <v>1645000</v>
      </c>
      <c r="I541" s="81">
        <f t="shared" si="226"/>
        <v>1645000</v>
      </c>
      <c r="J541" s="136"/>
      <c r="K541" s="69"/>
      <c r="L541" s="69"/>
      <c r="M541" s="69"/>
      <c r="N541" s="69"/>
      <c r="O541" s="69"/>
      <c r="P541" s="69"/>
      <c r="Q541" s="69"/>
      <c r="R541" s="69"/>
    </row>
    <row r="542" spans="1:18" ht="52.5" customHeight="1" x14ac:dyDescent="0.25">
      <c r="A542" s="206" t="s">
        <v>452</v>
      </c>
      <c r="B542" s="14">
        <v>793</v>
      </c>
      <c r="C542" s="15" t="s">
        <v>38</v>
      </c>
      <c r="D542" s="15" t="s">
        <v>64</v>
      </c>
      <c r="E542" s="14" t="s">
        <v>428</v>
      </c>
      <c r="F542" s="14"/>
      <c r="G542" s="70">
        <f t="shared" ref="G542:I543" si="227">G543</f>
        <v>1645000</v>
      </c>
      <c r="H542" s="70">
        <f t="shared" si="227"/>
        <v>1645000</v>
      </c>
      <c r="I542" s="70">
        <f t="shared" si="227"/>
        <v>1645000</v>
      </c>
      <c r="J542" s="136"/>
      <c r="K542" s="69"/>
      <c r="L542" s="69"/>
      <c r="M542" s="69"/>
      <c r="N542" s="69"/>
      <c r="O542" s="69"/>
      <c r="P542" s="69"/>
      <c r="Q542" s="69"/>
      <c r="R542" s="69"/>
    </row>
    <row r="543" spans="1:18" x14ac:dyDescent="0.25">
      <c r="A543" s="16" t="s">
        <v>43</v>
      </c>
      <c r="B543" s="14">
        <v>793</v>
      </c>
      <c r="C543" s="15" t="s">
        <v>38</v>
      </c>
      <c r="D543" s="15" t="s">
        <v>64</v>
      </c>
      <c r="E543" s="14" t="s">
        <v>428</v>
      </c>
      <c r="F543" s="14">
        <v>800</v>
      </c>
      <c r="G543" s="70">
        <f t="shared" si="227"/>
        <v>1645000</v>
      </c>
      <c r="H543" s="70">
        <f t="shared" si="227"/>
        <v>1645000</v>
      </c>
      <c r="I543" s="70">
        <f t="shared" si="227"/>
        <v>1645000</v>
      </c>
      <c r="J543" s="136"/>
      <c r="K543" s="69"/>
      <c r="L543" s="69"/>
      <c r="M543" s="69"/>
      <c r="N543" s="69"/>
      <c r="O543" s="69"/>
      <c r="P543" s="69"/>
      <c r="Q543" s="69"/>
      <c r="R543" s="69"/>
    </row>
    <row r="544" spans="1:18" ht="39" customHeight="1" x14ac:dyDescent="0.25">
      <c r="A544" s="16" t="s">
        <v>210</v>
      </c>
      <c r="B544" s="14">
        <v>793</v>
      </c>
      <c r="C544" s="15" t="s">
        <v>38</v>
      </c>
      <c r="D544" s="15" t="s">
        <v>64</v>
      </c>
      <c r="E544" s="14" t="s">
        <v>428</v>
      </c>
      <c r="F544" s="14">
        <v>810</v>
      </c>
      <c r="G544" s="70">
        <v>1645000</v>
      </c>
      <c r="H544" s="70">
        <v>1645000</v>
      </c>
      <c r="I544" s="70">
        <v>1645000</v>
      </c>
      <c r="J544" s="136"/>
      <c r="K544" s="69"/>
      <c r="L544" s="69"/>
      <c r="M544" s="69"/>
      <c r="N544" s="69"/>
      <c r="O544" s="69"/>
      <c r="P544" s="69"/>
      <c r="Q544" s="69"/>
      <c r="R544" s="69"/>
    </row>
    <row r="545" spans="1:18" ht="53.25" customHeight="1" x14ac:dyDescent="0.25">
      <c r="A545" s="16" t="s">
        <v>367</v>
      </c>
      <c r="B545" s="14">
        <v>793</v>
      </c>
      <c r="C545" s="15" t="s">
        <v>38</v>
      </c>
      <c r="D545" s="15" t="s">
        <v>64</v>
      </c>
      <c r="E545" s="14" t="s">
        <v>165</v>
      </c>
      <c r="F545" s="14"/>
      <c r="G545" s="70">
        <f>G546</f>
        <v>0</v>
      </c>
      <c r="H545" s="70">
        <f>H546</f>
        <v>50000</v>
      </c>
      <c r="I545" s="70">
        <f>I546</f>
        <v>50000</v>
      </c>
      <c r="J545" s="136"/>
      <c r="K545" s="69"/>
      <c r="L545" s="69"/>
      <c r="M545" s="69"/>
      <c r="N545" s="69"/>
      <c r="O545" s="69"/>
      <c r="P545" s="69"/>
      <c r="Q545" s="69"/>
      <c r="R545" s="69"/>
    </row>
    <row r="546" spans="1:18" ht="39" customHeight="1" x14ac:dyDescent="0.25">
      <c r="A546" s="16" t="s">
        <v>477</v>
      </c>
      <c r="B546" s="14">
        <v>793</v>
      </c>
      <c r="C546" s="15" t="s">
        <v>38</v>
      </c>
      <c r="D546" s="15" t="s">
        <v>64</v>
      </c>
      <c r="E546" s="14" t="s">
        <v>166</v>
      </c>
      <c r="F546" s="14"/>
      <c r="G546" s="70">
        <f>G547</f>
        <v>0</v>
      </c>
      <c r="H546" s="70">
        <f t="shared" ref="H546:I546" si="228">H547</f>
        <v>50000</v>
      </c>
      <c r="I546" s="70">
        <f t="shared" si="228"/>
        <v>50000</v>
      </c>
      <c r="J546" s="136"/>
      <c r="K546" s="69"/>
      <c r="L546" s="69"/>
      <c r="M546" s="69"/>
      <c r="N546" s="69"/>
      <c r="O546" s="69"/>
      <c r="P546" s="69"/>
      <c r="Q546" s="69"/>
      <c r="R546" s="69"/>
    </row>
    <row r="547" spans="1:18" ht="17.25" customHeight="1" x14ac:dyDescent="0.25">
      <c r="A547" s="16" t="s">
        <v>199</v>
      </c>
      <c r="B547" s="14">
        <v>793</v>
      </c>
      <c r="C547" s="15" t="s">
        <v>38</v>
      </c>
      <c r="D547" s="15" t="s">
        <v>64</v>
      </c>
      <c r="E547" s="14" t="s">
        <v>166</v>
      </c>
      <c r="F547" s="14">
        <v>200</v>
      </c>
      <c r="G547" s="70">
        <f>G548</f>
        <v>0</v>
      </c>
      <c r="H547" s="70">
        <f>H548</f>
        <v>50000</v>
      </c>
      <c r="I547" s="70">
        <f>I548</f>
        <v>50000</v>
      </c>
      <c r="J547" s="136"/>
      <c r="K547" s="69"/>
      <c r="L547" s="69"/>
      <c r="M547" s="69"/>
      <c r="N547" s="69"/>
      <c r="O547" s="69"/>
      <c r="P547" s="69"/>
      <c r="Q547" s="69"/>
      <c r="R547" s="69"/>
    </row>
    <row r="548" spans="1:18" ht="27.75" customHeight="1" x14ac:dyDescent="0.25">
      <c r="A548" s="16" t="s">
        <v>27</v>
      </c>
      <c r="B548" s="14">
        <v>793</v>
      </c>
      <c r="C548" s="15" t="s">
        <v>38</v>
      </c>
      <c r="D548" s="15" t="s">
        <v>64</v>
      </c>
      <c r="E548" s="14" t="s">
        <v>166</v>
      </c>
      <c r="F548" s="14">
        <v>240</v>
      </c>
      <c r="G548" s="70"/>
      <c r="H548" s="70">
        <v>50000</v>
      </c>
      <c r="I548" s="70">
        <v>50000</v>
      </c>
      <c r="J548" s="136"/>
      <c r="K548" s="69"/>
      <c r="L548" s="69"/>
      <c r="M548" s="69"/>
      <c r="N548" s="69"/>
      <c r="O548" s="69"/>
      <c r="P548" s="69"/>
      <c r="Q548" s="69"/>
      <c r="R548" s="69"/>
    </row>
    <row r="549" spans="1:18" x14ac:dyDescent="0.25">
      <c r="A549" s="54" t="s">
        <v>213</v>
      </c>
      <c r="B549" s="19">
        <v>793</v>
      </c>
      <c r="C549" s="7" t="s">
        <v>98</v>
      </c>
      <c r="D549" s="7"/>
      <c r="E549" s="7"/>
      <c r="F549" s="7"/>
      <c r="G549" s="38">
        <f>G550+G575+G592+G614</f>
        <v>27825188.890000001</v>
      </c>
      <c r="H549" s="38">
        <f>H550+H575+H592+H614</f>
        <v>29509212</v>
      </c>
      <c r="I549" s="38">
        <f>I550+I575+I592+I614</f>
        <v>30406750</v>
      </c>
      <c r="J549" s="208" t="e">
        <f>G554+G557+#REF!+G561+G565+G568+G571+#REF!+G582+#REF!+#REF!+#REF!+#REF!+G591+#REF!+#REF!+#REF!+#REF!+#REF!+#REF!+#REF!+G618</f>
        <v>#REF!</v>
      </c>
      <c r="K549" s="69"/>
      <c r="L549" s="69"/>
      <c r="M549" s="69"/>
      <c r="N549" s="69"/>
      <c r="O549" s="69"/>
      <c r="P549" s="180"/>
      <c r="Q549" s="180"/>
      <c r="R549" s="69"/>
    </row>
    <row r="550" spans="1:18" x14ac:dyDescent="0.25">
      <c r="A550" s="55" t="s">
        <v>99</v>
      </c>
      <c r="B550" s="49">
        <v>793</v>
      </c>
      <c r="C550" s="10" t="s">
        <v>98</v>
      </c>
      <c r="D550" s="10" t="s">
        <v>10</v>
      </c>
      <c r="E550" s="7"/>
      <c r="F550" s="7"/>
      <c r="G550" s="87">
        <f>G551+G558</f>
        <v>3000000</v>
      </c>
      <c r="H550" s="87">
        <f t="shared" ref="H550:I550" si="229">H551+H558</f>
        <v>2120000</v>
      </c>
      <c r="I550" s="87">
        <f t="shared" si="229"/>
        <v>2360000</v>
      </c>
      <c r="J550" s="181" t="e">
        <f>J549-G549</f>
        <v>#REF!</v>
      </c>
      <c r="K550" s="181"/>
      <c r="L550" s="181"/>
      <c r="M550" s="181"/>
      <c r="N550" s="181"/>
      <c r="O550" s="181"/>
      <c r="P550" s="69"/>
      <c r="Q550" s="69"/>
      <c r="R550" s="69"/>
    </row>
    <row r="551" spans="1:18" ht="53.25" customHeight="1" x14ac:dyDescent="0.25">
      <c r="A551" s="16" t="s">
        <v>373</v>
      </c>
      <c r="B551" s="49">
        <v>793</v>
      </c>
      <c r="C551" s="15" t="s">
        <v>98</v>
      </c>
      <c r="D551" s="15" t="s">
        <v>10</v>
      </c>
      <c r="E551" s="15" t="s">
        <v>187</v>
      </c>
      <c r="F551" s="15"/>
      <c r="G551" s="81">
        <f>G552+G555</f>
        <v>2500000</v>
      </c>
      <c r="H551" s="81">
        <f t="shared" ref="H551:I551" si="230">H552+H555</f>
        <v>1200000</v>
      </c>
      <c r="I551" s="81">
        <f t="shared" si="230"/>
        <v>1200000</v>
      </c>
      <c r="J551" s="136"/>
      <c r="K551" s="69"/>
      <c r="L551" s="69"/>
      <c r="M551" s="69"/>
      <c r="N551" s="69"/>
      <c r="O551" s="69"/>
      <c r="P551" s="69"/>
      <c r="Q551" s="69"/>
      <c r="R551" s="69"/>
    </row>
    <row r="552" spans="1:18" s="18" customFormat="1" ht="35.25" customHeight="1" x14ac:dyDescent="0.25">
      <c r="A552" s="16" t="s">
        <v>330</v>
      </c>
      <c r="B552" s="49">
        <v>793</v>
      </c>
      <c r="C552" s="15" t="s">
        <v>98</v>
      </c>
      <c r="D552" s="15" t="s">
        <v>10</v>
      </c>
      <c r="E552" s="15" t="s">
        <v>59</v>
      </c>
      <c r="F552" s="15"/>
      <c r="G552" s="81">
        <f t="shared" ref="G552:I556" si="231">G553</f>
        <v>2000000</v>
      </c>
      <c r="H552" s="81">
        <f t="shared" si="231"/>
        <v>1000000</v>
      </c>
      <c r="I552" s="81">
        <f t="shared" si="231"/>
        <v>1000000</v>
      </c>
      <c r="J552" s="136"/>
      <c r="K552" s="141"/>
      <c r="L552" s="141"/>
      <c r="M552" s="141"/>
      <c r="N552" s="141"/>
      <c r="O552" s="141"/>
      <c r="P552" s="141"/>
      <c r="Q552" s="141"/>
      <c r="R552" s="141"/>
    </row>
    <row r="553" spans="1:18" ht="35.25" customHeight="1" x14ac:dyDescent="0.25">
      <c r="A553" s="16" t="s">
        <v>25</v>
      </c>
      <c r="B553" s="49">
        <v>793</v>
      </c>
      <c r="C553" s="15" t="s">
        <v>98</v>
      </c>
      <c r="D553" s="15" t="s">
        <v>10</v>
      </c>
      <c r="E553" s="15" t="s">
        <v>59</v>
      </c>
      <c r="F553" s="15" t="s">
        <v>26</v>
      </c>
      <c r="G553" s="81">
        <f t="shared" si="231"/>
        <v>2000000</v>
      </c>
      <c r="H553" s="81">
        <f t="shared" si="231"/>
        <v>1000000</v>
      </c>
      <c r="I553" s="81">
        <f t="shared" si="231"/>
        <v>1000000</v>
      </c>
      <c r="J553" s="136"/>
      <c r="K553" s="69"/>
      <c r="L553" s="69"/>
      <c r="M553" s="69"/>
      <c r="N553" s="69"/>
      <c r="O553" s="69"/>
      <c r="P553" s="69"/>
      <c r="Q553" s="69"/>
      <c r="R553" s="69"/>
    </row>
    <row r="554" spans="1:18" s="18" customFormat="1" ht="35.25" customHeight="1" x14ac:dyDescent="0.25">
      <c r="A554" s="16" t="s">
        <v>27</v>
      </c>
      <c r="B554" s="49">
        <v>793</v>
      </c>
      <c r="C554" s="15" t="s">
        <v>98</v>
      </c>
      <c r="D554" s="15" t="s">
        <v>10</v>
      </c>
      <c r="E554" s="15" t="s">
        <v>59</v>
      </c>
      <c r="F554" s="15" t="s">
        <v>28</v>
      </c>
      <c r="G554" s="81">
        <v>2000000</v>
      </c>
      <c r="H554" s="81">
        <v>1000000</v>
      </c>
      <c r="I554" s="81">
        <v>1000000</v>
      </c>
      <c r="J554" s="136"/>
      <c r="K554" s="141"/>
      <c r="L554" s="141"/>
      <c r="M554" s="141"/>
      <c r="N554" s="141"/>
      <c r="O554" s="141"/>
      <c r="P554" s="141"/>
      <c r="Q554" s="141"/>
      <c r="R554" s="141"/>
    </row>
    <row r="555" spans="1:18" s="18" customFormat="1" ht="35.25" customHeight="1" x14ac:dyDescent="0.25">
      <c r="A555" s="16" t="s">
        <v>329</v>
      </c>
      <c r="B555" s="49">
        <v>793</v>
      </c>
      <c r="C555" s="15" t="s">
        <v>98</v>
      </c>
      <c r="D555" s="15" t="s">
        <v>10</v>
      </c>
      <c r="E555" s="15" t="s">
        <v>328</v>
      </c>
      <c r="F555" s="15"/>
      <c r="G555" s="81">
        <f t="shared" si="231"/>
        <v>500000</v>
      </c>
      <c r="H555" s="81">
        <f t="shared" si="231"/>
        <v>200000</v>
      </c>
      <c r="I555" s="81">
        <f t="shared" si="231"/>
        <v>200000</v>
      </c>
      <c r="J555" s="136"/>
      <c r="K555" s="141"/>
      <c r="L555" s="141"/>
      <c r="M555" s="141"/>
      <c r="N555" s="141"/>
      <c r="O555" s="141"/>
      <c r="P555" s="141"/>
      <c r="Q555" s="141"/>
      <c r="R555" s="141"/>
    </row>
    <row r="556" spans="1:18" ht="35.25" customHeight="1" x14ac:dyDescent="0.25">
      <c r="A556" s="16" t="s">
        <v>25</v>
      </c>
      <c r="B556" s="49">
        <v>793</v>
      </c>
      <c r="C556" s="15" t="s">
        <v>98</v>
      </c>
      <c r="D556" s="15" t="s">
        <v>10</v>
      </c>
      <c r="E556" s="15" t="s">
        <v>328</v>
      </c>
      <c r="F556" s="15" t="s">
        <v>26</v>
      </c>
      <c r="G556" s="81">
        <f t="shared" si="231"/>
        <v>500000</v>
      </c>
      <c r="H556" s="81">
        <f t="shared" si="231"/>
        <v>200000</v>
      </c>
      <c r="I556" s="81">
        <f t="shared" si="231"/>
        <v>200000</v>
      </c>
      <c r="J556" s="136"/>
      <c r="K556" s="69"/>
      <c r="L556" s="69"/>
      <c r="M556" s="69"/>
      <c r="N556" s="69"/>
      <c r="O556" s="69"/>
      <c r="P556" s="69"/>
      <c r="Q556" s="69"/>
      <c r="R556" s="69"/>
    </row>
    <row r="557" spans="1:18" s="18" customFormat="1" ht="35.25" customHeight="1" x14ac:dyDescent="0.25">
      <c r="A557" s="16" t="s">
        <v>27</v>
      </c>
      <c r="B557" s="49">
        <v>793</v>
      </c>
      <c r="C557" s="15" t="s">
        <v>98</v>
      </c>
      <c r="D557" s="15" t="s">
        <v>10</v>
      </c>
      <c r="E557" s="15" t="s">
        <v>328</v>
      </c>
      <c r="F557" s="15" t="s">
        <v>28</v>
      </c>
      <c r="G557" s="81">
        <v>500000</v>
      </c>
      <c r="H557" s="81">
        <v>200000</v>
      </c>
      <c r="I557" s="81">
        <v>200000</v>
      </c>
      <c r="J557" s="136"/>
      <c r="K557" s="141"/>
      <c r="L557" s="141"/>
      <c r="M557" s="141"/>
      <c r="N557" s="141"/>
      <c r="O557" s="141"/>
      <c r="P557" s="141"/>
      <c r="Q557" s="141"/>
      <c r="R557" s="141"/>
    </row>
    <row r="558" spans="1:18" s="18" customFormat="1" ht="73.5" customHeight="1" x14ac:dyDescent="0.25">
      <c r="A558" s="16" t="s">
        <v>473</v>
      </c>
      <c r="B558" s="49">
        <v>793</v>
      </c>
      <c r="C558" s="10" t="s">
        <v>98</v>
      </c>
      <c r="D558" s="10" t="s">
        <v>10</v>
      </c>
      <c r="E558" s="15" t="s">
        <v>131</v>
      </c>
      <c r="F558" s="15"/>
      <c r="G558" s="81">
        <f>G559+G562+G572</f>
        <v>500000</v>
      </c>
      <c r="H558" s="81">
        <f>H559+H562+H572</f>
        <v>920000</v>
      </c>
      <c r="I558" s="81">
        <f>I559+I562+I572</f>
        <v>1160000</v>
      </c>
      <c r="J558" s="136"/>
      <c r="K558" s="141"/>
      <c r="L558" s="141"/>
      <c r="M558" s="141"/>
      <c r="N558" s="141"/>
      <c r="O558" s="141"/>
      <c r="P558" s="141"/>
      <c r="Q558" s="141"/>
      <c r="R558" s="141"/>
    </row>
    <row r="559" spans="1:18" s="46" customFormat="1" ht="48.75" customHeight="1" x14ac:dyDescent="0.25">
      <c r="A559" s="16" t="s">
        <v>394</v>
      </c>
      <c r="B559" s="49">
        <v>793</v>
      </c>
      <c r="C559" s="10" t="s">
        <v>98</v>
      </c>
      <c r="D559" s="10" t="s">
        <v>10</v>
      </c>
      <c r="E559" s="15" t="s">
        <v>234</v>
      </c>
      <c r="F559" s="15"/>
      <c r="G559" s="81">
        <f>G560</f>
        <v>0</v>
      </c>
      <c r="H559" s="81">
        <f t="shared" ref="G559:I560" si="232">H560</f>
        <v>420000</v>
      </c>
      <c r="I559" s="81">
        <f t="shared" si="232"/>
        <v>660000</v>
      </c>
      <c r="J559" s="136"/>
      <c r="K559" s="58"/>
      <c r="L559" s="58"/>
      <c r="M559" s="58"/>
      <c r="N559" s="58"/>
      <c r="O559" s="58"/>
      <c r="P559" s="58"/>
      <c r="Q559" s="58"/>
      <c r="R559" s="58"/>
    </row>
    <row r="560" spans="1:18" s="46" customFormat="1" ht="21" customHeight="1" x14ac:dyDescent="0.25">
      <c r="A560" s="16" t="s">
        <v>199</v>
      </c>
      <c r="B560" s="49">
        <v>793</v>
      </c>
      <c r="C560" s="10" t="s">
        <v>98</v>
      </c>
      <c r="D560" s="10" t="s">
        <v>10</v>
      </c>
      <c r="E560" s="15" t="s">
        <v>234</v>
      </c>
      <c r="F560" s="15" t="s">
        <v>26</v>
      </c>
      <c r="G560" s="81">
        <f t="shared" si="232"/>
        <v>0</v>
      </c>
      <c r="H560" s="81">
        <f t="shared" si="232"/>
        <v>420000</v>
      </c>
      <c r="I560" s="81">
        <f t="shared" si="232"/>
        <v>660000</v>
      </c>
      <c r="J560" s="136"/>
      <c r="K560" s="58"/>
      <c r="L560" s="58"/>
      <c r="M560" s="58"/>
      <c r="N560" s="58"/>
      <c r="O560" s="58"/>
      <c r="P560" s="58"/>
      <c r="Q560" s="58"/>
      <c r="R560" s="58"/>
    </row>
    <row r="561" spans="1:18" s="46" customFormat="1" ht="28.5" customHeight="1" x14ac:dyDescent="0.25">
      <c r="A561" s="16" t="s">
        <v>27</v>
      </c>
      <c r="B561" s="49">
        <v>793</v>
      </c>
      <c r="C561" s="10" t="s">
        <v>98</v>
      </c>
      <c r="D561" s="10" t="s">
        <v>10</v>
      </c>
      <c r="E561" s="15" t="s">
        <v>234</v>
      </c>
      <c r="F561" s="15" t="s">
        <v>28</v>
      </c>
      <c r="G561" s="81"/>
      <c r="H561" s="81">
        <v>420000</v>
      </c>
      <c r="I561" s="81">
        <v>660000</v>
      </c>
      <c r="J561" s="136"/>
      <c r="K561" s="58"/>
      <c r="L561" s="58"/>
      <c r="M561" s="58"/>
      <c r="N561" s="58"/>
      <c r="O561" s="58"/>
      <c r="P561" s="58"/>
      <c r="Q561" s="58"/>
      <c r="R561" s="58"/>
    </row>
    <row r="562" spans="1:18" s="18" customFormat="1" ht="47.25" hidden="1" customHeight="1" x14ac:dyDescent="0.25">
      <c r="A562" s="78" t="s">
        <v>454</v>
      </c>
      <c r="B562" s="49">
        <v>793</v>
      </c>
      <c r="C562" s="10" t="s">
        <v>98</v>
      </c>
      <c r="D562" s="10" t="s">
        <v>10</v>
      </c>
      <c r="E562" s="15" t="s">
        <v>453</v>
      </c>
      <c r="F562" s="79"/>
      <c r="G562" s="81">
        <f>G563+G566+G569</f>
        <v>0</v>
      </c>
      <c r="H562" s="81">
        <f>H563+H566+H569</f>
        <v>0</v>
      </c>
      <c r="I562" s="81">
        <f>I563+I566+I569</f>
        <v>0</v>
      </c>
      <c r="J562" s="137"/>
      <c r="K562" s="154"/>
      <c r="L562" s="154"/>
      <c r="M562" s="154"/>
      <c r="N562" s="154"/>
      <c r="O562" s="154"/>
      <c r="P562" s="154"/>
      <c r="Q562" s="154"/>
      <c r="R562" s="154"/>
    </row>
    <row r="563" spans="1:18" s="18" customFormat="1" ht="39.6" hidden="1" x14ac:dyDescent="0.25">
      <c r="A563" s="206" t="s">
        <v>432</v>
      </c>
      <c r="B563" s="49">
        <v>793</v>
      </c>
      <c r="C563" s="10" t="s">
        <v>98</v>
      </c>
      <c r="D563" s="10" t="s">
        <v>10</v>
      </c>
      <c r="E563" s="15" t="s">
        <v>265</v>
      </c>
      <c r="F563" s="15"/>
      <c r="G563" s="70">
        <f>G564</f>
        <v>0</v>
      </c>
      <c r="H563" s="70">
        <f t="shared" ref="H563:I563" si="233">H564</f>
        <v>0</v>
      </c>
      <c r="I563" s="70">
        <f t="shared" si="233"/>
        <v>0</v>
      </c>
      <c r="J563" s="136"/>
      <c r="K563" s="141"/>
      <c r="L563" s="141"/>
      <c r="M563" s="141"/>
      <c r="N563" s="141"/>
      <c r="O563" s="141"/>
      <c r="P563" s="141"/>
      <c r="Q563" s="141"/>
      <c r="R563" s="141"/>
    </row>
    <row r="564" spans="1:18" s="18" customFormat="1" ht="23.25" hidden="1" customHeight="1" x14ac:dyDescent="0.25">
      <c r="A564" s="16" t="s">
        <v>43</v>
      </c>
      <c r="B564" s="49">
        <v>793</v>
      </c>
      <c r="C564" s="10" t="s">
        <v>98</v>
      </c>
      <c r="D564" s="10" t="s">
        <v>10</v>
      </c>
      <c r="E564" s="15" t="s">
        <v>265</v>
      </c>
      <c r="F564" s="15" t="s">
        <v>44</v>
      </c>
      <c r="G564" s="70">
        <f>G565</f>
        <v>0</v>
      </c>
      <c r="H564" s="70">
        <f t="shared" ref="H564:I564" si="234">H565</f>
        <v>0</v>
      </c>
      <c r="I564" s="70">
        <f t="shared" si="234"/>
        <v>0</v>
      </c>
      <c r="J564" s="136"/>
      <c r="K564" s="141"/>
      <c r="L564" s="141"/>
      <c r="M564" s="141"/>
      <c r="N564" s="141"/>
      <c r="O564" s="141"/>
      <c r="P564" s="141"/>
      <c r="Q564" s="141"/>
      <c r="R564" s="141"/>
    </row>
    <row r="565" spans="1:18" s="18" customFormat="1" ht="20.25" hidden="1" customHeight="1" x14ac:dyDescent="0.25">
      <c r="A565" s="50" t="s">
        <v>83</v>
      </c>
      <c r="B565" s="49">
        <v>793</v>
      </c>
      <c r="C565" s="10" t="s">
        <v>98</v>
      </c>
      <c r="D565" s="10" t="s">
        <v>10</v>
      </c>
      <c r="E565" s="15" t="s">
        <v>265</v>
      </c>
      <c r="F565" s="15" t="s">
        <v>46</v>
      </c>
      <c r="G565" s="70"/>
      <c r="H565" s="70"/>
      <c r="I565" s="70"/>
      <c r="J565" s="136"/>
      <c r="K565" s="141"/>
      <c r="L565" s="141"/>
      <c r="M565" s="141"/>
      <c r="N565" s="141"/>
      <c r="O565" s="141"/>
      <c r="P565" s="141"/>
      <c r="Q565" s="141"/>
      <c r="R565" s="141"/>
    </row>
    <row r="566" spans="1:18" s="18" customFormat="1" ht="58.5" hidden="1" customHeight="1" x14ac:dyDescent="0.25">
      <c r="A566" s="16" t="s">
        <v>431</v>
      </c>
      <c r="B566" s="49">
        <v>793</v>
      </c>
      <c r="C566" s="10" t="s">
        <v>98</v>
      </c>
      <c r="D566" s="10" t="s">
        <v>10</v>
      </c>
      <c r="E566" s="15" t="s">
        <v>266</v>
      </c>
      <c r="F566" s="15"/>
      <c r="G566" s="70">
        <f>G567</f>
        <v>0</v>
      </c>
      <c r="H566" s="70">
        <f t="shared" ref="H566:I566" si="235">H567</f>
        <v>0</v>
      </c>
      <c r="I566" s="70">
        <f t="shared" si="235"/>
        <v>0</v>
      </c>
      <c r="J566" s="136"/>
      <c r="K566" s="141"/>
      <c r="L566" s="141"/>
      <c r="M566" s="141"/>
      <c r="N566" s="141"/>
      <c r="O566" s="141"/>
      <c r="P566" s="141"/>
      <c r="Q566" s="141"/>
      <c r="R566" s="141"/>
    </row>
    <row r="567" spans="1:18" s="18" customFormat="1" ht="22.5" hidden="1" customHeight="1" x14ac:dyDescent="0.25">
      <c r="A567" s="16" t="s">
        <v>43</v>
      </c>
      <c r="B567" s="49">
        <v>793</v>
      </c>
      <c r="C567" s="10" t="s">
        <v>98</v>
      </c>
      <c r="D567" s="10" t="s">
        <v>10</v>
      </c>
      <c r="E567" s="15" t="s">
        <v>266</v>
      </c>
      <c r="F567" s="15" t="s">
        <v>44</v>
      </c>
      <c r="G567" s="70">
        <f>G568</f>
        <v>0</v>
      </c>
      <c r="H567" s="70">
        <f>H568</f>
        <v>0</v>
      </c>
      <c r="I567" s="70">
        <f>I568</f>
        <v>0</v>
      </c>
      <c r="J567" s="136"/>
      <c r="K567" s="141"/>
      <c r="L567" s="141"/>
      <c r="M567" s="141"/>
      <c r="N567" s="141"/>
      <c r="O567" s="141"/>
      <c r="P567" s="141"/>
      <c r="Q567" s="141"/>
      <c r="R567" s="141"/>
    </row>
    <row r="568" spans="1:18" s="18" customFormat="1" ht="37.5" hidden="1" customHeight="1" x14ac:dyDescent="0.25">
      <c r="A568" s="50" t="s">
        <v>83</v>
      </c>
      <c r="B568" s="49">
        <v>793</v>
      </c>
      <c r="C568" s="10" t="s">
        <v>98</v>
      </c>
      <c r="D568" s="10" t="s">
        <v>10</v>
      </c>
      <c r="E568" s="15" t="s">
        <v>266</v>
      </c>
      <c r="F568" s="15" t="s">
        <v>46</v>
      </c>
      <c r="G568" s="70"/>
      <c r="H568" s="70"/>
      <c r="I568" s="70"/>
      <c r="J568" s="136"/>
      <c r="K568" s="141"/>
      <c r="L568" s="141"/>
      <c r="M568" s="141"/>
      <c r="N568" s="141"/>
      <c r="O568" s="141"/>
      <c r="P568" s="141"/>
      <c r="Q568" s="141"/>
      <c r="R568" s="141"/>
    </row>
    <row r="569" spans="1:18" s="18" customFormat="1" ht="84.75" hidden="1" customHeight="1" x14ac:dyDescent="0.25">
      <c r="A569" s="16" t="s">
        <v>333</v>
      </c>
      <c r="B569" s="49">
        <v>793</v>
      </c>
      <c r="C569" s="10" t="s">
        <v>98</v>
      </c>
      <c r="D569" s="10" t="s">
        <v>10</v>
      </c>
      <c r="E569" s="15" t="s">
        <v>332</v>
      </c>
      <c r="F569" s="15"/>
      <c r="G569" s="70">
        <f>G570</f>
        <v>0</v>
      </c>
      <c r="H569" s="70">
        <f t="shared" ref="H569:I569" si="236">H570</f>
        <v>0</v>
      </c>
      <c r="I569" s="70">
        <f t="shared" si="236"/>
        <v>0</v>
      </c>
      <c r="J569" s="136"/>
      <c r="K569" s="141"/>
      <c r="L569" s="141"/>
      <c r="M569" s="141"/>
      <c r="N569" s="141"/>
      <c r="O569" s="141"/>
      <c r="P569" s="141"/>
      <c r="Q569" s="141"/>
      <c r="R569" s="141"/>
    </row>
    <row r="570" spans="1:18" s="18" customFormat="1" ht="22.5" hidden="1" customHeight="1" x14ac:dyDescent="0.25">
      <c r="A570" s="16" t="s">
        <v>43</v>
      </c>
      <c r="B570" s="49">
        <v>793</v>
      </c>
      <c r="C570" s="10" t="s">
        <v>98</v>
      </c>
      <c r="D570" s="10" t="s">
        <v>10</v>
      </c>
      <c r="E570" s="15" t="s">
        <v>332</v>
      </c>
      <c r="F570" s="15" t="s">
        <v>44</v>
      </c>
      <c r="G570" s="70">
        <f>G571</f>
        <v>0</v>
      </c>
      <c r="H570" s="70">
        <f t="shared" ref="H570:I570" si="237">H571</f>
        <v>0</v>
      </c>
      <c r="I570" s="70">
        <f t="shared" si="237"/>
        <v>0</v>
      </c>
      <c r="J570" s="136"/>
      <c r="K570" s="141"/>
      <c r="L570" s="141"/>
      <c r="M570" s="141"/>
      <c r="N570" s="141"/>
      <c r="O570" s="141"/>
      <c r="P570" s="141"/>
      <c r="Q570" s="141"/>
      <c r="R570" s="141"/>
    </row>
    <row r="571" spans="1:18" s="18" customFormat="1" ht="37.5" hidden="1" customHeight="1" x14ac:dyDescent="0.25">
      <c r="A571" s="50" t="s">
        <v>83</v>
      </c>
      <c r="B571" s="49">
        <v>793</v>
      </c>
      <c r="C571" s="10" t="s">
        <v>98</v>
      </c>
      <c r="D571" s="10" t="s">
        <v>10</v>
      </c>
      <c r="E571" s="15" t="s">
        <v>332</v>
      </c>
      <c r="F571" s="15" t="s">
        <v>46</v>
      </c>
      <c r="G571" s="70"/>
      <c r="H571" s="70"/>
      <c r="I571" s="70"/>
      <c r="J571" s="136"/>
      <c r="K571" s="141"/>
      <c r="L571" s="141"/>
      <c r="M571" s="141"/>
      <c r="N571" s="141"/>
      <c r="O571" s="141"/>
      <c r="P571" s="141"/>
      <c r="Q571" s="141"/>
      <c r="R571" s="141"/>
    </row>
    <row r="572" spans="1:18" s="18" customFormat="1" ht="26.25" customHeight="1" x14ac:dyDescent="0.25">
      <c r="A572" s="16" t="s">
        <v>424</v>
      </c>
      <c r="B572" s="49">
        <v>793</v>
      </c>
      <c r="C572" s="15" t="s">
        <v>98</v>
      </c>
      <c r="D572" s="15" t="s">
        <v>10</v>
      </c>
      <c r="E572" s="15" t="s">
        <v>376</v>
      </c>
      <c r="F572" s="15"/>
      <c r="G572" s="70">
        <f t="shared" ref="G572:I573" si="238">G573</f>
        <v>500000</v>
      </c>
      <c r="H572" s="70">
        <f t="shared" si="238"/>
        <v>500000</v>
      </c>
      <c r="I572" s="70">
        <f t="shared" si="238"/>
        <v>500000</v>
      </c>
      <c r="J572" s="136"/>
      <c r="K572" s="141"/>
      <c r="L572" s="141"/>
      <c r="M572" s="141"/>
      <c r="N572" s="141"/>
      <c r="O572" s="141"/>
      <c r="P572" s="141"/>
      <c r="Q572" s="141"/>
      <c r="R572" s="141"/>
    </row>
    <row r="573" spans="1:18" ht="30.75" customHeight="1" x14ac:dyDescent="0.25">
      <c r="A573" s="16" t="s">
        <v>25</v>
      </c>
      <c r="B573" s="49">
        <v>793</v>
      </c>
      <c r="C573" s="15" t="s">
        <v>98</v>
      </c>
      <c r="D573" s="15" t="s">
        <v>10</v>
      </c>
      <c r="E573" s="15" t="s">
        <v>376</v>
      </c>
      <c r="F573" s="15" t="s">
        <v>26</v>
      </c>
      <c r="G573" s="70">
        <f t="shared" si="238"/>
        <v>500000</v>
      </c>
      <c r="H573" s="70">
        <f t="shared" si="238"/>
        <v>500000</v>
      </c>
      <c r="I573" s="70">
        <f t="shared" si="238"/>
        <v>500000</v>
      </c>
      <c r="J573" s="136"/>
      <c r="K573" s="69"/>
      <c r="L573" s="69"/>
      <c r="M573" s="69"/>
      <c r="N573" s="69"/>
      <c r="O573" s="69"/>
      <c r="P573" s="69"/>
      <c r="Q573" s="69"/>
      <c r="R573" s="69"/>
    </row>
    <row r="574" spans="1:18" s="18" customFormat="1" ht="34.5" customHeight="1" x14ac:dyDescent="0.25">
      <c r="A574" s="16" t="s">
        <v>27</v>
      </c>
      <c r="B574" s="49">
        <v>793</v>
      </c>
      <c r="C574" s="15" t="s">
        <v>98</v>
      </c>
      <c r="D574" s="15" t="s">
        <v>10</v>
      </c>
      <c r="E574" s="15" t="s">
        <v>376</v>
      </c>
      <c r="F574" s="15" t="s">
        <v>28</v>
      </c>
      <c r="G574" s="70">
        <v>500000</v>
      </c>
      <c r="H574" s="70">
        <v>500000</v>
      </c>
      <c r="I574" s="70">
        <v>500000</v>
      </c>
      <c r="J574" s="136"/>
      <c r="K574" s="141"/>
      <c r="L574" s="141"/>
      <c r="M574" s="141"/>
      <c r="N574" s="141"/>
      <c r="O574" s="141"/>
      <c r="P574" s="141"/>
      <c r="Q574" s="141"/>
      <c r="R574" s="141"/>
    </row>
    <row r="575" spans="1:18" ht="16.5" customHeight="1" x14ac:dyDescent="0.25">
      <c r="A575" s="13" t="s">
        <v>100</v>
      </c>
      <c r="B575" s="49">
        <v>793</v>
      </c>
      <c r="C575" s="15" t="s">
        <v>98</v>
      </c>
      <c r="D575" s="15" t="s">
        <v>19</v>
      </c>
      <c r="E575" s="15"/>
      <c r="F575" s="15"/>
      <c r="G575" s="81">
        <f>G576</f>
        <v>2752000</v>
      </c>
      <c r="H575" s="81">
        <f t="shared" ref="H575:I575" si="239">H576</f>
        <v>4500000</v>
      </c>
      <c r="I575" s="81">
        <f t="shared" si="239"/>
        <v>4500000</v>
      </c>
      <c r="J575" s="136"/>
      <c r="K575" s="69"/>
      <c r="L575" s="69"/>
      <c r="M575" s="69"/>
      <c r="N575" s="69"/>
      <c r="O575" s="69"/>
      <c r="P575" s="69"/>
      <c r="Q575" s="69"/>
      <c r="R575" s="69"/>
    </row>
    <row r="576" spans="1:18" s="3" customFormat="1" ht="52.5" customHeight="1" x14ac:dyDescent="0.25">
      <c r="A576" s="16" t="s">
        <v>373</v>
      </c>
      <c r="B576" s="49">
        <v>793</v>
      </c>
      <c r="C576" s="15" t="s">
        <v>98</v>
      </c>
      <c r="D576" s="15" t="s">
        <v>19</v>
      </c>
      <c r="E576" s="15" t="s">
        <v>187</v>
      </c>
      <c r="F576" s="15"/>
      <c r="G576" s="70">
        <f>G580+G583+G586+G589+G577</f>
        <v>2752000</v>
      </c>
      <c r="H576" s="70">
        <f t="shared" ref="H576:I576" si="240">H580+H583+H586+H589+H577</f>
        <v>4500000</v>
      </c>
      <c r="I576" s="70">
        <f t="shared" si="240"/>
        <v>4500000</v>
      </c>
      <c r="J576" s="136"/>
      <c r="K576" s="62"/>
      <c r="L576" s="62"/>
      <c r="M576" s="62"/>
      <c r="N576" s="62"/>
      <c r="O576" s="62"/>
      <c r="P576" s="62"/>
      <c r="Q576" s="62"/>
      <c r="R576" s="62"/>
    </row>
    <row r="577" spans="1:20" ht="62.4" customHeight="1" x14ac:dyDescent="0.25">
      <c r="A577" s="114" t="s">
        <v>528</v>
      </c>
      <c r="B577" s="273">
        <v>793</v>
      </c>
      <c r="C577" s="79" t="s">
        <v>98</v>
      </c>
      <c r="D577" s="79" t="s">
        <v>19</v>
      </c>
      <c r="E577" s="79" t="s">
        <v>529</v>
      </c>
      <c r="F577" s="79"/>
      <c r="G577" s="81">
        <f>G578</f>
        <v>600000</v>
      </c>
      <c r="H577" s="81">
        <f t="shared" ref="H577:I577" si="241">H578</f>
        <v>0</v>
      </c>
      <c r="I577" s="81">
        <f t="shared" si="241"/>
        <v>0</v>
      </c>
      <c r="J577" s="2"/>
      <c r="K577" s="1"/>
      <c r="L577" s="1"/>
      <c r="M577" s="1"/>
      <c r="N577" s="1"/>
      <c r="O577" s="1"/>
      <c r="P577" s="2"/>
      <c r="Q577" s="2"/>
      <c r="R577" s="2"/>
      <c r="S577" s="2"/>
      <c r="T577" s="2"/>
    </row>
    <row r="578" spans="1:20" ht="36" customHeight="1" x14ac:dyDescent="0.25">
      <c r="A578" s="78" t="s">
        <v>69</v>
      </c>
      <c r="B578" s="273">
        <v>793</v>
      </c>
      <c r="C578" s="79" t="s">
        <v>98</v>
      </c>
      <c r="D578" s="79" t="s">
        <v>19</v>
      </c>
      <c r="E578" s="79" t="s">
        <v>529</v>
      </c>
      <c r="F578" s="79" t="s">
        <v>215</v>
      </c>
      <c r="G578" s="81">
        <f>G579</f>
        <v>600000</v>
      </c>
      <c r="H578" s="81">
        <f t="shared" ref="H578:I578" si="242">H579</f>
        <v>0</v>
      </c>
      <c r="I578" s="81">
        <f t="shared" si="242"/>
        <v>0</v>
      </c>
      <c r="J578" s="2"/>
      <c r="K578" s="1"/>
      <c r="L578" s="1"/>
      <c r="M578" s="1"/>
      <c r="N578" s="1"/>
      <c r="O578" s="1"/>
      <c r="P578" s="2"/>
      <c r="Q578" s="2"/>
      <c r="R578" s="2"/>
      <c r="S578" s="2"/>
      <c r="T578" s="2"/>
    </row>
    <row r="579" spans="1:20" ht="22.5" customHeight="1" x14ac:dyDescent="0.25">
      <c r="A579" s="78" t="s">
        <v>216</v>
      </c>
      <c r="B579" s="273">
        <v>793</v>
      </c>
      <c r="C579" s="79" t="s">
        <v>98</v>
      </c>
      <c r="D579" s="79" t="s">
        <v>19</v>
      </c>
      <c r="E579" s="79" t="s">
        <v>529</v>
      </c>
      <c r="F579" s="79" t="s">
        <v>217</v>
      </c>
      <c r="G579" s="81">
        <v>600000</v>
      </c>
      <c r="H579" s="70">
        <v>0</v>
      </c>
      <c r="I579" s="70">
        <v>0</v>
      </c>
      <c r="J579" s="2"/>
      <c r="K579" s="1"/>
      <c r="L579" s="1"/>
      <c r="M579" s="1"/>
      <c r="N579" s="1"/>
      <c r="O579" s="1"/>
      <c r="P579" s="2"/>
      <c r="Q579" s="2"/>
      <c r="R579" s="2"/>
      <c r="S579" s="2"/>
      <c r="T579" s="2"/>
    </row>
    <row r="580" spans="1:20" x14ac:dyDescent="0.25">
      <c r="A580" s="16" t="s">
        <v>291</v>
      </c>
      <c r="B580" s="49">
        <v>793</v>
      </c>
      <c r="C580" s="15" t="s">
        <v>98</v>
      </c>
      <c r="D580" s="15" t="s">
        <v>19</v>
      </c>
      <c r="E580" s="15" t="s">
        <v>188</v>
      </c>
      <c r="F580" s="15"/>
      <c r="G580" s="70">
        <f>G581</f>
        <v>0</v>
      </c>
      <c r="H580" s="70">
        <f t="shared" ref="H580:I580" si="243">H581</f>
        <v>100000</v>
      </c>
      <c r="I580" s="70">
        <f t="shared" si="243"/>
        <v>100000</v>
      </c>
      <c r="J580" s="136"/>
      <c r="K580" s="69"/>
      <c r="L580" s="69"/>
      <c r="M580" s="69"/>
      <c r="N580" s="69"/>
      <c r="O580" s="69"/>
      <c r="P580" s="69"/>
      <c r="Q580" s="69"/>
      <c r="R580" s="69"/>
    </row>
    <row r="581" spans="1:20" ht="26.4" x14ac:dyDescent="0.25">
      <c r="A581" s="16" t="s">
        <v>25</v>
      </c>
      <c r="B581" s="49">
        <v>793</v>
      </c>
      <c r="C581" s="15" t="s">
        <v>98</v>
      </c>
      <c r="D581" s="15" t="s">
        <v>19</v>
      </c>
      <c r="E581" s="15" t="s">
        <v>188</v>
      </c>
      <c r="F581" s="15" t="s">
        <v>26</v>
      </c>
      <c r="G581" s="70">
        <f t="shared" ref="G581:I581" si="244">G582</f>
        <v>0</v>
      </c>
      <c r="H581" s="70">
        <f t="shared" si="244"/>
        <v>100000</v>
      </c>
      <c r="I581" s="70">
        <f t="shared" si="244"/>
        <v>100000</v>
      </c>
      <c r="J581" s="136"/>
      <c r="K581" s="69"/>
      <c r="L581" s="69"/>
      <c r="M581" s="69"/>
      <c r="N581" s="69"/>
      <c r="O581" s="69"/>
      <c r="P581" s="69"/>
      <c r="Q581" s="69"/>
      <c r="R581" s="69"/>
    </row>
    <row r="582" spans="1:20" ht="26.4" x14ac:dyDescent="0.25">
      <c r="A582" s="16" t="s">
        <v>27</v>
      </c>
      <c r="B582" s="49">
        <v>793</v>
      </c>
      <c r="C582" s="15" t="s">
        <v>98</v>
      </c>
      <c r="D582" s="15" t="s">
        <v>19</v>
      </c>
      <c r="E582" s="15" t="s">
        <v>188</v>
      </c>
      <c r="F582" s="15" t="s">
        <v>28</v>
      </c>
      <c r="G582" s="70"/>
      <c r="H582" s="70">
        <v>100000</v>
      </c>
      <c r="I582" s="70">
        <v>100000</v>
      </c>
      <c r="J582" s="136"/>
      <c r="K582" s="69"/>
      <c r="L582" s="69"/>
      <c r="M582" s="69"/>
      <c r="N582" s="69"/>
      <c r="O582" s="69"/>
      <c r="P582" s="69"/>
      <c r="Q582" s="69"/>
      <c r="R582" s="69"/>
    </row>
    <row r="583" spans="1:20" x14ac:dyDescent="0.25">
      <c r="A583" s="16" t="s">
        <v>475</v>
      </c>
      <c r="B583" s="49">
        <v>793</v>
      </c>
      <c r="C583" s="15" t="s">
        <v>98</v>
      </c>
      <c r="D583" s="15" t="s">
        <v>19</v>
      </c>
      <c r="E583" s="15" t="s">
        <v>350</v>
      </c>
      <c r="F583" s="15"/>
      <c r="G583" s="70">
        <f>G584</f>
        <v>0</v>
      </c>
      <c r="H583" s="70">
        <f t="shared" ref="G583:I584" si="245">H584</f>
        <v>1000000</v>
      </c>
      <c r="I583" s="70">
        <f t="shared" si="245"/>
        <v>1000000</v>
      </c>
      <c r="J583" s="136"/>
      <c r="K583" s="69"/>
      <c r="L583" s="69"/>
      <c r="M583" s="69"/>
      <c r="N583" s="69"/>
      <c r="O583" s="69"/>
      <c r="P583" s="69"/>
      <c r="Q583" s="69"/>
      <c r="R583" s="69"/>
    </row>
    <row r="584" spans="1:20" ht="26.4" x14ac:dyDescent="0.25">
      <c r="A584" s="16" t="s">
        <v>25</v>
      </c>
      <c r="B584" s="49">
        <v>793</v>
      </c>
      <c r="C584" s="15" t="s">
        <v>98</v>
      </c>
      <c r="D584" s="15" t="s">
        <v>19</v>
      </c>
      <c r="E584" s="15" t="s">
        <v>350</v>
      </c>
      <c r="F584" s="15" t="s">
        <v>26</v>
      </c>
      <c r="G584" s="70">
        <f t="shared" si="245"/>
        <v>0</v>
      </c>
      <c r="H584" s="70">
        <f t="shared" si="245"/>
        <v>1000000</v>
      </c>
      <c r="I584" s="70">
        <f t="shared" si="245"/>
        <v>1000000</v>
      </c>
      <c r="J584" s="136"/>
      <c r="K584" s="69"/>
      <c r="L584" s="69"/>
      <c r="M584" s="69"/>
      <c r="N584" s="69"/>
      <c r="O584" s="69"/>
      <c r="P584" s="69"/>
      <c r="Q584" s="69"/>
      <c r="R584" s="69"/>
    </row>
    <row r="585" spans="1:20" ht="26.4" x14ac:dyDescent="0.25">
      <c r="A585" s="16" t="s">
        <v>27</v>
      </c>
      <c r="B585" s="49">
        <v>793</v>
      </c>
      <c r="C585" s="15" t="s">
        <v>98</v>
      </c>
      <c r="D585" s="15" t="s">
        <v>19</v>
      </c>
      <c r="E585" s="15" t="s">
        <v>350</v>
      </c>
      <c r="F585" s="15" t="s">
        <v>28</v>
      </c>
      <c r="G585" s="70"/>
      <c r="H585" s="70">
        <v>1000000</v>
      </c>
      <c r="I585" s="70">
        <v>1000000</v>
      </c>
      <c r="J585" s="136"/>
      <c r="K585" s="69"/>
      <c r="L585" s="69"/>
      <c r="M585" s="69"/>
      <c r="N585" s="69"/>
      <c r="O585" s="69"/>
      <c r="P585" s="69"/>
      <c r="Q585" s="69"/>
      <c r="R585" s="69"/>
    </row>
    <row r="586" spans="1:20" x14ac:dyDescent="0.25">
      <c r="A586" s="16" t="s">
        <v>476</v>
      </c>
      <c r="B586" s="49">
        <v>793</v>
      </c>
      <c r="C586" s="15" t="s">
        <v>98</v>
      </c>
      <c r="D586" s="15" t="s">
        <v>19</v>
      </c>
      <c r="E586" s="15" t="s">
        <v>474</v>
      </c>
      <c r="F586" s="15"/>
      <c r="G586" s="70">
        <f>G587</f>
        <v>1450000</v>
      </c>
      <c r="H586" s="70">
        <f t="shared" ref="G586:I587" si="246">H587</f>
        <v>2000000</v>
      </c>
      <c r="I586" s="70">
        <f t="shared" si="246"/>
        <v>2000000</v>
      </c>
      <c r="J586" s="136"/>
      <c r="K586" s="69"/>
      <c r="L586" s="69"/>
      <c r="M586" s="69"/>
      <c r="N586" s="69"/>
      <c r="O586" s="69"/>
      <c r="P586" s="69"/>
      <c r="Q586" s="69"/>
      <c r="R586" s="69"/>
    </row>
    <row r="587" spans="1:20" ht="26.4" x14ac:dyDescent="0.25">
      <c r="A587" s="16" t="s">
        <v>25</v>
      </c>
      <c r="B587" s="49">
        <v>793</v>
      </c>
      <c r="C587" s="15" t="s">
        <v>98</v>
      </c>
      <c r="D587" s="15" t="s">
        <v>19</v>
      </c>
      <c r="E587" s="15" t="s">
        <v>474</v>
      </c>
      <c r="F587" s="15" t="s">
        <v>26</v>
      </c>
      <c r="G587" s="70">
        <f t="shared" si="246"/>
        <v>1450000</v>
      </c>
      <c r="H587" s="70">
        <f t="shared" si="246"/>
        <v>2000000</v>
      </c>
      <c r="I587" s="70">
        <f t="shared" si="246"/>
        <v>2000000</v>
      </c>
      <c r="J587" s="136"/>
      <c r="K587" s="69"/>
      <c r="L587" s="69"/>
      <c r="M587" s="69"/>
      <c r="N587" s="69"/>
      <c r="O587" s="69"/>
      <c r="P587" s="69"/>
      <c r="Q587" s="69"/>
      <c r="R587" s="69"/>
    </row>
    <row r="588" spans="1:20" ht="26.4" x14ac:dyDescent="0.25">
      <c r="A588" s="16" t="s">
        <v>27</v>
      </c>
      <c r="B588" s="49">
        <v>793</v>
      </c>
      <c r="C588" s="15" t="s">
        <v>98</v>
      </c>
      <c r="D588" s="15" t="s">
        <v>19</v>
      </c>
      <c r="E588" s="15" t="s">
        <v>474</v>
      </c>
      <c r="F588" s="15" t="s">
        <v>28</v>
      </c>
      <c r="G588" s="70">
        <v>1450000</v>
      </c>
      <c r="H588" s="70">
        <v>2000000</v>
      </c>
      <c r="I588" s="70">
        <v>2000000</v>
      </c>
      <c r="J588" s="136"/>
      <c r="K588" s="69"/>
      <c r="L588" s="69"/>
      <c r="M588" s="69"/>
      <c r="N588" s="69"/>
      <c r="O588" s="69"/>
      <c r="P588" s="69"/>
      <c r="Q588" s="69"/>
      <c r="R588" s="69"/>
    </row>
    <row r="589" spans="1:20" ht="34.5" customHeight="1" x14ac:dyDescent="0.25">
      <c r="A589" s="16" t="s">
        <v>321</v>
      </c>
      <c r="B589" s="14">
        <v>793</v>
      </c>
      <c r="C589" s="15" t="s">
        <v>98</v>
      </c>
      <c r="D589" s="15" t="s">
        <v>19</v>
      </c>
      <c r="E589" s="15" t="s">
        <v>322</v>
      </c>
      <c r="F589" s="15"/>
      <c r="G589" s="70">
        <f t="shared" ref="G589:I590" si="247">G590</f>
        <v>702000</v>
      </c>
      <c r="H589" s="70">
        <f t="shared" si="247"/>
        <v>1400000</v>
      </c>
      <c r="I589" s="70">
        <f t="shared" si="247"/>
        <v>1400000</v>
      </c>
      <c r="J589" s="69"/>
      <c r="K589" s="69"/>
      <c r="L589" s="69"/>
      <c r="M589" s="69"/>
      <c r="N589" s="69"/>
      <c r="O589" s="69"/>
      <c r="P589" s="69"/>
      <c r="Q589" s="69"/>
      <c r="R589" s="69"/>
    </row>
    <row r="590" spans="1:20" ht="34.5" customHeight="1" x14ac:dyDescent="0.25">
      <c r="A590" s="16" t="s">
        <v>25</v>
      </c>
      <c r="B590" s="14">
        <v>793</v>
      </c>
      <c r="C590" s="15" t="s">
        <v>98</v>
      </c>
      <c r="D590" s="15" t="s">
        <v>19</v>
      </c>
      <c r="E590" s="15" t="s">
        <v>322</v>
      </c>
      <c r="F590" s="15" t="s">
        <v>26</v>
      </c>
      <c r="G590" s="70">
        <f t="shared" si="247"/>
        <v>702000</v>
      </c>
      <c r="H590" s="70">
        <f t="shared" si="247"/>
        <v>1400000</v>
      </c>
      <c r="I590" s="70">
        <f t="shared" si="247"/>
        <v>1400000</v>
      </c>
      <c r="J590" s="69"/>
      <c r="K590" s="69"/>
      <c r="L590" s="69"/>
      <c r="M590" s="69"/>
      <c r="N590" s="69"/>
      <c r="O590" s="69"/>
      <c r="P590" s="69"/>
      <c r="Q590" s="69"/>
      <c r="R590" s="69"/>
    </row>
    <row r="591" spans="1:20" ht="34.5" customHeight="1" x14ac:dyDescent="0.25">
      <c r="A591" s="16" t="s">
        <v>27</v>
      </c>
      <c r="B591" s="14">
        <v>793</v>
      </c>
      <c r="C591" s="15" t="s">
        <v>98</v>
      </c>
      <c r="D591" s="15" t="s">
        <v>19</v>
      </c>
      <c r="E591" s="15" t="s">
        <v>322</v>
      </c>
      <c r="F591" s="15" t="s">
        <v>28</v>
      </c>
      <c r="G591" s="70">
        <f>302000+400000</f>
        <v>702000</v>
      </c>
      <c r="H591" s="70">
        <f>2000000+400000-1000000</f>
        <v>1400000</v>
      </c>
      <c r="I591" s="70">
        <f>2000000+400000-1000000</f>
        <v>1400000</v>
      </c>
      <c r="J591" s="69"/>
      <c r="K591" s="69"/>
      <c r="L591" s="69"/>
      <c r="M591" s="69"/>
      <c r="N591" s="69"/>
      <c r="O591" s="69"/>
      <c r="P591" s="69"/>
      <c r="Q591" s="69"/>
      <c r="R591" s="69"/>
    </row>
    <row r="592" spans="1:20" s="46" customFormat="1" ht="17.25" customHeight="1" x14ac:dyDescent="0.25">
      <c r="A592" s="16" t="s">
        <v>103</v>
      </c>
      <c r="B592" s="49">
        <v>793</v>
      </c>
      <c r="C592" s="15" t="s">
        <v>98</v>
      </c>
      <c r="D592" s="15" t="s">
        <v>49</v>
      </c>
      <c r="E592" s="15"/>
      <c r="F592" s="15"/>
      <c r="G592" s="70">
        <f>G593+G597+G601</f>
        <v>21573188.890000001</v>
      </c>
      <c r="H592" s="70">
        <f t="shared" ref="H592:I592" si="248">H593+H597+H601</f>
        <v>22889212</v>
      </c>
      <c r="I592" s="70">
        <f t="shared" si="248"/>
        <v>23546750</v>
      </c>
      <c r="J592" s="136" t="e">
        <f>#REF!+#REF!+#REF!+#REF!</f>
        <v>#REF!</v>
      </c>
      <c r="K592" s="58"/>
      <c r="L592" s="58"/>
      <c r="M592" s="58"/>
      <c r="N592" s="58"/>
      <c r="O592" s="58"/>
      <c r="P592" s="58"/>
      <c r="Q592" s="58"/>
      <c r="R592" s="58"/>
    </row>
    <row r="593" spans="1:18" s="32" customFormat="1" ht="39.6" x14ac:dyDescent="0.25">
      <c r="A593" s="16" t="s">
        <v>359</v>
      </c>
      <c r="B593" s="49">
        <v>793</v>
      </c>
      <c r="C593" s="15" t="s">
        <v>98</v>
      </c>
      <c r="D593" s="15" t="s">
        <v>49</v>
      </c>
      <c r="E593" s="15" t="s">
        <v>168</v>
      </c>
      <c r="F593" s="15"/>
      <c r="G593" s="70">
        <f>G594</f>
        <v>144969.89000000001</v>
      </c>
      <c r="H593" s="70">
        <f t="shared" ref="H593:I593" si="249">H594</f>
        <v>0</v>
      </c>
      <c r="I593" s="70">
        <f t="shared" si="249"/>
        <v>0</v>
      </c>
      <c r="J593" s="136"/>
      <c r="K593" s="215"/>
      <c r="L593" s="213"/>
      <c r="M593" s="213"/>
      <c r="N593" s="213"/>
      <c r="O593" s="213"/>
      <c r="P593" s="213"/>
      <c r="Q593" s="213"/>
      <c r="R593" s="213"/>
    </row>
    <row r="594" spans="1:18" s="18" customFormat="1" ht="34.5" customHeight="1" x14ac:dyDescent="0.25">
      <c r="A594" s="78" t="s">
        <v>530</v>
      </c>
      <c r="B594" s="49">
        <v>793</v>
      </c>
      <c r="C594" s="15" t="s">
        <v>98</v>
      </c>
      <c r="D594" s="15" t="s">
        <v>49</v>
      </c>
      <c r="E594" s="15" t="s">
        <v>531</v>
      </c>
      <c r="F594" s="15"/>
      <c r="G594" s="70">
        <f>G595</f>
        <v>144969.89000000001</v>
      </c>
      <c r="H594" s="70">
        <f t="shared" ref="H594:I594" si="250">H595</f>
        <v>0</v>
      </c>
      <c r="I594" s="70">
        <f t="shared" si="250"/>
        <v>0</v>
      </c>
      <c r="J594" s="136"/>
      <c r="K594" s="141"/>
      <c r="L594" s="141"/>
      <c r="M594" s="141"/>
      <c r="N594" s="141"/>
      <c r="O594" s="141"/>
      <c r="P594" s="141"/>
      <c r="Q594" s="141"/>
      <c r="R594" s="141"/>
    </row>
    <row r="595" spans="1:18" ht="30.75" customHeight="1" x14ac:dyDescent="0.25">
      <c r="A595" s="16" t="s">
        <v>25</v>
      </c>
      <c r="B595" s="49">
        <v>793</v>
      </c>
      <c r="C595" s="15" t="s">
        <v>98</v>
      </c>
      <c r="D595" s="15" t="s">
        <v>49</v>
      </c>
      <c r="E595" s="15" t="s">
        <v>531</v>
      </c>
      <c r="F595" s="15" t="s">
        <v>26</v>
      </c>
      <c r="G595" s="70">
        <f t="shared" ref="G595:I595" si="251">G596</f>
        <v>144969.89000000001</v>
      </c>
      <c r="H595" s="70">
        <f t="shared" si="251"/>
        <v>0</v>
      </c>
      <c r="I595" s="70">
        <f t="shared" si="251"/>
        <v>0</v>
      </c>
      <c r="J595" s="136"/>
      <c r="K595" s="69"/>
      <c r="L595" s="69"/>
      <c r="M595" s="69"/>
      <c r="N595" s="69"/>
      <c r="O595" s="69"/>
      <c r="P595" s="69"/>
      <c r="Q595" s="69"/>
      <c r="R595" s="69"/>
    </row>
    <row r="596" spans="1:18" s="18" customFormat="1" ht="35.25" customHeight="1" x14ac:dyDescent="0.25">
      <c r="A596" s="16" t="s">
        <v>27</v>
      </c>
      <c r="B596" s="49">
        <v>793</v>
      </c>
      <c r="C596" s="15" t="s">
        <v>98</v>
      </c>
      <c r="D596" s="15" t="s">
        <v>49</v>
      </c>
      <c r="E596" s="15" t="s">
        <v>531</v>
      </c>
      <c r="F596" s="15" t="s">
        <v>28</v>
      </c>
      <c r="G596" s="70">
        <v>144969.89000000001</v>
      </c>
      <c r="H596" s="70"/>
      <c r="I596" s="70"/>
      <c r="J596" s="136"/>
      <c r="K596" s="141"/>
      <c r="L596" s="141"/>
      <c r="M596" s="141"/>
      <c r="N596" s="141"/>
      <c r="O596" s="141"/>
      <c r="P596" s="141"/>
      <c r="Q596" s="141"/>
      <c r="R596" s="141"/>
    </row>
    <row r="597" spans="1:18" ht="41.25" customHeight="1" x14ac:dyDescent="0.25">
      <c r="A597" s="16" t="s">
        <v>413</v>
      </c>
      <c r="B597" s="14">
        <v>793</v>
      </c>
      <c r="C597" s="15" t="s">
        <v>98</v>
      </c>
      <c r="D597" s="15" t="s">
        <v>49</v>
      </c>
      <c r="E597" s="15" t="s">
        <v>82</v>
      </c>
      <c r="F597" s="15"/>
      <c r="G597" s="70">
        <f>G598</f>
        <v>600000</v>
      </c>
      <c r="H597" s="70">
        <f t="shared" ref="H597:M597" si="252">H598</f>
        <v>600000</v>
      </c>
      <c r="I597" s="70">
        <f t="shared" si="252"/>
        <v>0</v>
      </c>
      <c r="J597" s="70">
        <f t="shared" si="252"/>
        <v>0</v>
      </c>
      <c r="K597" s="70">
        <f t="shared" si="252"/>
        <v>0</v>
      </c>
      <c r="L597" s="70">
        <f t="shared" si="252"/>
        <v>0</v>
      </c>
      <c r="M597" s="70">
        <f t="shared" si="252"/>
        <v>0</v>
      </c>
      <c r="N597" s="69"/>
      <c r="O597" s="69"/>
      <c r="P597" s="69"/>
      <c r="Q597" s="69"/>
      <c r="R597" s="69"/>
    </row>
    <row r="598" spans="1:18" ht="44.25" customHeight="1" x14ac:dyDescent="0.25">
      <c r="A598" s="50" t="s">
        <v>417</v>
      </c>
      <c r="B598" s="14">
        <v>793</v>
      </c>
      <c r="C598" s="15" t="s">
        <v>98</v>
      </c>
      <c r="D598" s="15" t="s">
        <v>49</v>
      </c>
      <c r="E598" s="15" t="s">
        <v>416</v>
      </c>
      <c r="F598" s="15"/>
      <c r="G598" s="70">
        <f>G599</f>
        <v>600000</v>
      </c>
      <c r="H598" s="70">
        <f t="shared" ref="H598:I599" si="253">H599</f>
        <v>600000</v>
      </c>
      <c r="I598" s="70">
        <f t="shared" si="253"/>
        <v>0</v>
      </c>
      <c r="J598" s="136"/>
      <c r="K598" s="69"/>
      <c r="L598" s="69"/>
      <c r="M598" s="69"/>
      <c r="N598" s="69"/>
      <c r="O598" s="69"/>
      <c r="P598" s="69"/>
      <c r="Q598" s="69"/>
      <c r="R598" s="69"/>
    </row>
    <row r="599" spans="1:18" ht="32.25" customHeight="1" x14ac:dyDescent="0.25">
      <c r="A599" s="16" t="s">
        <v>25</v>
      </c>
      <c r="B599" s="14">
        <v>793</v>
      </c>
      <c r="C599" s="15" t="s">
        <v>98</v>
      </c>
      <c r="D599" s="15" t="s">
        <v>49</v>
      </c>
      <c r="E599" s="15" t="s">
        <v>416</v>
      </c>
      <c r="F599" s="15" t="s">
        <v>26</v>
      </c>
      <c r="G599" s="70">
        <f>G600</f>
        <v>600000</v>
      </c>
      <c r="H599" s="70">
        <f t="shared" si="253"/>
        <v>600000</v>
      </c>
      <c r="I599" s="70">
        <f t="shared" si="253"/>
        <v>0</v>
      </c>
      <c r="J599" s="136"/>
      <c r="K599" s="69"/>
      <c r="L599" s="69"/>
      <c r="M599" s="69"/>
      <c r="N599" s="69"/>
      <c r="O599" s="69"/>
      <c r="P599" s="69"/>
      <c r="Q599" s="69"/>
      <c r="R599" s="69"/>
    </row>
    <row r="600" spans="1:18" ht="30.75" customHeight="1" x14ac:dyDescent="0.25">
      <c r="A600" s="16" t="s">
        <v>27</v>
      </c>
      <c r="B600" s="14">
        <v>793</v>
      </c>
      <c r="C600" s="15" t="s">
        <v>98</v>
      </c>
      <c r="D600" s="15" t="s">
        <v>49</v>
      </c>
      <c r="E600" s="15" t="s">
        <v>416</v>
      </c>
      <c r="F600" s="15" t="s">
        <v>28</v>
      </c>
      <c r="G600" s="70">
        <v>600000</v>
      </c>
      <c r="H600" s="70">
        <v>600000</v>
      </c>
      <c r="I600" s="70"/>
      <c r="J600" s="136"/>
      <c r="K600" s="69"/>
      <c r="L600" s="69"/>
      <c r="M600" s="69"/>
      <c r="N600" s="69"/>
      <c r="O600" s="69"/>
      <c r="P600" s="69"/>
      <c r="Q600" s="69"/>
      <c r="R600" s="69"/>
    </row>
    <row r="601" spans="1:18" ht="42.75" customHeight="1" x14ac:dyDescent="0.25">
      <c r="A601" s="16" t="s">
        <v>348</v>
      </c>
      <c r="B601" s="49">
        <v>793</v>
      </c>
      <c r="C601" s="15" t="s">
        <v>98</v>
      </c>
      <c r="D601" s="15" t="s">
        <v>49</v>
      </c>
      <c r="E601" s="15" t="s">
        <v>286</v>
      </c>
      <c r="F601" s="15"/>
      <c r="G601" s="70">
        <f>G602+G605+G608+G611</f>
        <v>20828219</v>
      </c>
      <c r="H601" s="70">
        <f t="shared" ref="H601:I601" si="254">H602+H605+H608+H611</f>
        <v>22289212</v>
      </c>
      <c r="I601" s="70">
        <f t="shared" si="254"/>
        <v>23546750</v>
      </c>
      <c r="J601" s="136"/>
      <c r="K601" s="69"/>
      <c r="L601" s="69"/>
      <c r="M601" s="69"/>
      <c r="N601" s="180"/>
      <c r="O601" s="180"/>
      <c r="P601" s="69"/>
      <c r="Q601" s="69"/>
      <c r="R601" s="69"/>
    </row>
    <row r="602" spans="1:18" s="46" customFormat="1" ht="17.25" customHeight="1" x14ac:dyDescent="0.25">
      <c r="A602" s="16" t="s">
        <v>235</v>
      </c>
      <c r="B602" s="49">
        <v>793</v>
      </c>
      <c r="C602" s="15" t="s">
        <v>98</v>
      </c>
      <c r="D602" s="15" t="s">
        <v>49</v>
      </c>
      <c r="E602" s="15" t="s">
        <v>349</v>
      </c>
      <c r="F602" s="15"/>
      <c r="G602" s="70">
        <f t="shared" ref="G602:I602" si="255">G603</f>
        <v>19278219</v>
      </c>
      <c r="H602" s="70">
        <f t="shared" si="255"/>
        <v>20439212</v>
      </c>
      <c r="I602" s="70">
        <f t="shared" si="255"/>
        <v>21696750</v>
      </c>
      <c r="J602" s="136"/>
      <c r="K602" s="58"/>
      <c r="L602" s="58"/>
      <c r="M602" s="58"/>
      <c r="N602" s="58"/>
      <c r="O602" s="58"/>
      <c r="P602" s="58"/>
      <c r="Q602" s="58"/>
      <c r="R602" s="58"/>
    </row>
    <row r="603" spans="1:18" s="46" customFormat="1" ht="17.25" customHeight="1" x14ac:dyDescent="0.25">
      <c r="A603" s="16" t="s">
        <v>199</v>
      </c>
      <c r="B603" s="49">
        <v>793</v>
      </c>
      <c r="C603" s="15" t="s">
        <v>98</v>
      </c>
      <c r="D603" s="15" t="s">
        <v>49</v>
      </c>
      <c r="E603" s="15" t="s">
        <v>349</v>
      </c>
      <c r="F603" s="15" t="s">
        <v>26</v>
      </c>
      <c r="G603" s="70">
        <f>G604</f>
        <v>19278219</v>
      </c>
      <c r="H603" s="70">
        <f t="shared" ref="H603:I603" si="256">H604</f>
        <v>20439212</v>
      </c>
      <c r="I603" s="70">
        <f t="shared" si="256"/>
        <v>21696750</v>
      </c>
      <c r="J603" s="136"/>
      <c r="K603" s="58"/>
      <c r="L603" s="58"/>
      <c r="M603" s="58"/>
      <c r="N603" s="58"/>
      <c r="O603" s="58"/>
      <c r="P603" s="58"/>
      <c r="Q603" s="58"/>
      <c r="R603" s="58"/>
    </row>
    <row r="604" spans="1:18" s="46" customFormat="1" ht="32.25" customHeight="1" x14ac:dyDescent="0.25">
      <c r="A604" s="16" t="s">
        <v>27</v>
      </c>
      <c r="B604" s="49">
        <v>793</v>
      </c>
      <c r="C604" s="15" t="s">
        <v>98</v>
      </c>
      <c r="D604" s="15" t="s">
        <v>49</v>
      </c>
      <c r="E604" s="15" t="s">
        <v>349</v>
      </c>
      <c r="F604" s="15" t="s">
        <v>28</v>
      </c>
      <c r="G604" s="70">
        <f>9341853+9936366</f>
        <v>19278219</v>
      </c>
      <c r="H604" s="70">
        <f>9807300+10631912</f>
        <v>20439212</v>
      </c>
      <c r="I604" s="70">
        <f>10320600+11376150</f>
        <v>21696750</v>
      </c>
      <c r="J604" s="136"/>
      <c r="K604" s="58"/>
      <c r="L604" s="58"/>
      <c r="M604" s="58"/>
      <c r="N604" s="58"/>
      <c r="O604" s="58"/>
      <c r="P604" s="58"/>
      <c r="Q604" s="58"/>
      <c r="R604" s="58"/>
    </row>
    <row r="605" spans="1:18" x14ac:dyDescent="0.25">
      <c r="A605" s="16" t="s">
        <v>57</v>
      </c>
      <c r="B605" s="49">
        <v>793</v>
      </c>
      <c r="C605" s="15" t="s">
        <v>98</v>
      </c>
      <c r="D605" s="15" t="s">
        <v>49</v>
      </c>
      <c r="E605" s="15" t="s">
        <v>378</v>
      </c>
      <c r="F605" s="15"/>
      <c r="G605" s="70">
        <f>G606</f>
        <v>1500000</v>
      </c>
      <c r="H605" s="70">
        <f t="shared" ref="H605:I605" si="257">H606</f>
        <v>1500000</v>
      </c>
      <c r="I605" s="70">
        <f t="shared" si="257"/>
        <v>1500000</v>
      </c>
      <c r="J605" s="136"/>
      <c r="K605" s="69"/>
      <c r="L605" s="69"/>
      <c r="M605" s="69"/>
      <c r="N605" s="69"/>
      <c r="O605" s="69"/>
      <c r="P605" s="69"/>
      <c r="Q605" s="69"/>
      <c r="R605" s="69"/>
    </row>
    <row r="606" spans="1:18" ht="26.4" x14ac:dyDescent="0.25">
      <c r="A606" s="16" t="s">
        <v>25</v>
      </c>
      <c r="B606" s="49">
        <v>793</v>
      </c>
      <c r="C606" s="15" t="s">
        <v>98</v>
      </c>
      <c r="D606" s="15" t="s">
        <v>49</v>
      </c>
      <c r="E606" s="15" t="s">
        <v>378</v>
      </c>
      <c r="F606" s="15" t="s">
        <v>26</v>
      </c>
      <c r="G606" s="70">
        <f>G607</f>
        <v>1500000</v>
      </c>
      <c r="H606" s="70">
        <f>H607</f>
        <v>1500000</v>
      </c>
      <c r="I606" s="70">
        <f>I607</f>
        <v>1500000</v>
      </c>
      <c r="J606" s="136"/>
      <c r="K606" s="69"/>
      <c r="L606" s="69"/>
      <c r="M606" s="69"/>
      <c r="N606" s="69"/>
      <c r="O606" s="69"/>
      <c r="P606" s="69"/>
      <c r="Q606" s="69"/>
      <c r="R606" s="69"/>
    </row>
    <row r="607" spans="1:18" ht="30.75" customHeight="1" x14ac:dyDescent="0.25">
      <c r="A607" s="16" t="s">
        <v>27</v>
      </c>
      <c r="B607" s="49">
        <v>793</v>
      </c>
      <c r="C607" s="15" t="s">
        <v>98</v>
      </c>
      <c r="D607" s="15" t="s">
        <v>49</v>
      </c>
      <c r="E607" s="15" t="s">
        <v>378</v>
      </c>
      <c r="F607" s="15" t="s">
        <v>28</v>
      </c>
      <c r="G607" s="70">
        <v>1500000</v>
      </c>
      <c r="H607" s="70">
        <v>1500000</v>
      </c>
      <c r="I607" s="70">
        <v>1500000</v>
      </c>
      <c r="J607" s="136"/>
      <c r="K607" s="69"/>
      <c r="L607" s="69"/>
      <c r="M607" s="69"/>
      <c r="N607" s="69"/>
      <c r="O607" s="69"/>
      <c r="P607" s="69"/>
      <c r="Q607" s="69"/>
      <c r="R607" s="69"/>
    </row>
    <row r="608" spans="1:18" ht="26.25" customHeight="1" x14ac:dyDescent="0.25">
      <c r="A608" s="16" t="s">
        <v>56</v>
      </c>
      <c r="B608" s="49">
        <v>793</v>
      </c>
      <c r="C608" s="15" t="s">
        <v>98</v>
      </c>
      <c r="D608" s="15" t="s">
        <v>49</v>
      </c>
      <c r="E608" s="15" t="s">
        <v>379</v>
      </c>
      <c r="F608" s="15"/>
      <c r="G608" s="70">
        <f t="shared" ref="G608:I609" si="258">G609</f>
        <v>50000</v>
      </c>
      <c r="H608" s="70">
        <f t="shared" si="258"/>
        <v>50000</v>
      </c>
      <c r="I608" s="70">
        <f t="shared" si="258"/>
        <v>50000</v>
      </c>
      <c r="J608" s="136"/>
      <c r="K608" s="69"/>
      <c r="L608" s="69"/>
      <c r="M608" s="69"/>
      <c r="N608" s="69"/>
      <c r="O608" s="69"/>
      <c r="P608" s="69"/>
      <c r="Q608" s="69"/>
      <c r="R608" s="69"/>
    </row>
    <row r="609" spans="1:18" ht="26.25" customHeight="1" x14ac:dyDescent="0.25">
      <c r="A609" s="16" t="s">
        <v>25</v>
      </c>
      <c r="B609" s="49">
        <v>793</v>
      </c>
      <c r="C609" s="15" t="s">
        <v>98</v>
      </c>
      <c r="D609" s="15" t="s">
        <v>49</v>
      </c>
      <c r="E609" s="15" t="s">
        <v>379</v>
      </c>
      <c r="F609" s="15" t="s">
        <v>26</v>
      </c>
      <c r="G609" s="70">
        <f t="shared" si="258"/>
        <v>50000</v>
      </c>
      <c r="H609" s="70">
        <f t="shared" si="258"/>
        <v>50000</v>
      </c>
      <c r="I609" s="70">
        <f t="shared" si="258"/>
        <v>50000</v>
      </c>
      <c r="J609" s="136"/>
      <c r="K609" s="69"/>
      <c r="L609" s="69"/>
      <c r="M609" s="69"/>
      <c r="N609" s="69"/>
      <c r="O609" s="69"/>
      <c r="P609" s="69"/>
      <c r="Q609" s="69"/>
      <c r="R609" s="69"/>
    </row>
    <row r="610" spans="1:18" ht="26.4" x14ac:dyDescent="0.25">
      <c r="A610" s="16" t="s">
        <v>27</v>
      </c>
      <c r="B610" s="49">
        <v>793</v>
      </c>
      <c r="C610" s="15" t="s">
        <v>98</v>
      </c>
      <c r="D610" s="15" t="s">
        <v>49</v>
      </c>
      <c r="E610" s="15" t="s">
        <v>379</v>
      </c>
      <c r="F610" s="15" t="s">
        <v>28</v>
      </c>
      <c r="G610" s="70">
        <v>50000</v>
      </c>
      <c r="H610" s="70">
        <v>50000</v>
      </c>
      <c r="I610" s="70">
        <v>50000</v>
      </c>
      <c r="J610" s="136"/>
      <c r="K610" s="69"/>
      <c r="L610" s="69"/>
      <c r="M610" s="69"/>
      <c r="N610" s="69"/>
      <c r="O610" s="69"/>
      <c r="P610" s="69"/>
      <c r="Q610" s="69"/>
      <c r="R610" s="69"/>
    </row>
    <row r="611" spans="1:18" ht="30.75" customHeight="1" x14ac:dyDescent="0.25">
      <c r="A611" s="16" t="s">
        <v>290</v>
      </c>
      <c r="B611" s="49">
        <v>793</v>
      </c>
      <c r="C611" s="15" t="s">
        <v>98</v>
      </c>
      <c r="D611" s="15" t="s">
        <v>49</v>
      </c>
      <c r="E611" s="15" t="s">
        <v>380</v>
      </c>
      <c r="F611" s="15"/>
      <c r="G611" s="70">
        <f t="shared" ref="G611:I612" si="259">G612</f>
        <v>0</v>
      </c>
      <c r="H611" s="70">
        <f t="shared" si="259"/>
        <v>300000</v>
      </c>
      <c r="I611" s="70">
        <f t="shared" si="259"/>
        <v>300000</v>
      </c>
      <c r="J611" s="136"/>
      <c r="K611" s="69"/>
      <c r="L611" s="69"/>
      <c r="M611" s="69"/>
      <c r="N611" s="69"/>
      <c r="O611" s="69"/>
      <c r="P611" s="69"/>
      <c r="Q611" s="69"/>
      <c r="R611" s="69"/>
    </row>
    <row r="612" spans="1:18" ht="30.75" customHeight="1" x14ac:dyDescent="0.25">
      <c r="A612" s="16" t="s">
        <v>25</v>
      </c>
      <c r="B612" s="49">
        <v>793</v>
      </c>
      <c r="C612" s="15" t="s">
        <v>98</v>
      </c>
      <c r="D612" s="15" t="s">
        <v>49</v>
      </c>
      <c r="E612" s="15" t="s">
        <v>380</v>
      </c>
      <c r="F612" s="15" t="s">
        <v>26</v>
      </c>
      <c r="G612" s="70">
        <f t="shared" si="259"/>
        <v>0</v>
      </c>
      <c r="H612" s="70">
        <f t="shared" si="259"/>
        <v>300000</v>
      </c>
      <c r="I612" s="70">
        <f t="shared" si="259"/>
        <v>300000</v>
      </c>
      <c r="J612" s="136"/>
      <c r="K612" s="69"/>
      <c r="L612" s="69"/>
      <c r="M612" s="69"/>
      <c r="N612" s="69"/>
      <c r="O612" s="69"/>
      <c r="P612" s="69"/>
      <c r="Q612" s="69"/>
      <c r="R612" s="69"/>
    </row>
    <row r="613" spans="1:18" ht="30.75" customHeight="1" x14ac:dyDescent="0.25">
      <c r="A613" s="16" t="s">
        <v>27</v>
      </c>
      <c r="B613" s="49">
        <v>793</v>
      </c>
      <c r="C613" s="15" t="s">
        <v>98</v>
      </c>
      <c r="D613" s="15" t="s">
        <v>49</v>
      </c>
      <c r="E613" s="15" t="s">
        <v>380</v>
      </c>
      <c r="F613" s="15" t="s">
        <v>28</v>
      </c>
      <c r="G613" s="70"/>
      <c r="H613" s="70">
        <v>300000</v>
      </c>
      <c r="I613" s="70">
        <v>300000</v>
      </c>
      <c r="J613" s="136"/>
      <c r="K613" s="69"/>
      <c r="L613" s="69"/>
      <c r="M613" s="69"/>
      <c r="N613" s="69"/>
      <c r="O613" s="69"/>
      <c r="P613" s="69"/>
      <c r="Q613" s="69"/>
      <c r="R613" s="69"/>
    </row>
    <row r="614" spans="1:18" s="22" customFormat="1" ht="26.4" x14ac:dyDescent="0.25">
      <c r="A614" s="16" t="s">
        <v>271</v>
      </c>
      <c r="B614" s="49">
        <v>793</v>
      </c>
      <c r="C614" s="15" t="s">
        <v>98</v>
      </c>
      <c r="D614" s="15" t="s">
        <v>98</v>
      </c>
      <c r="E614" s="15"/>
      <c r="F614" s="15"/>
      <c r="G614" s="70">
        <f>G615</f>
        <v>500000</v>
      </c>
      <c r="H614" s="70">
        <f t="shared" ref="H614:I614" si="260">H615</f>
        <v>0</v>
      </c>
      <c r="I614" s="70">
        <f t="shared" si="260"/>
        <v>0</v>
      </c>
      <c r="J614" s="204"/>
      <c r="K614" s="61"/>
      <c r="L614" s="61"/>
      <c r="M614" s="61"/>
      <c r="N614" s="61"/>
      <c r="O614" s="61"/>
      <c r="P614" s="61"/>
      <c r="Q614" s="61"/>
      <c r="R614" s="61"/>
    </row>
    <row r="615" spans="1:18" ht="54" customHeight="1" x14ac:dyDescent="0.25">
      <c r="A615" s="16" t="s">
        <v>373</v>
      </c>
      <c r="B615" s="49">
        <v>793</v>
      </c>
      <c r="C615" s="15" t="s">
        <v>98</v>
      </c>
      <c r="D615" s="15" t="s">
        <v>98</v>
      </c>
      <c r="E615" s="15" t="s">
        <v>187</v>
      </c>
      <c r="F615" s="15"/>
      <c r="G615" s="70">
        <f>G616</f>
        <v>500000</v>
      </c>
      <c r="H615" s="70">
        <f t="shared" ref="H615:I615" si="261">H616</f>
        <v>0</v>
      </c>
      <c r="I615" s="70">
        <f t="shared" si="261"/>
        <v>0</v>
      </c>
      <c r="J615" s="136"/>
      <c r="K615" s="69"/>
      <c r="L615" s="69"/>
      <c r="M615" s="69"/>
      <c r="N615" s="69"/>
      <c r="O615" s="69"/>
      <c r="P615" s="69"/>
      <c r="Q615" s="69"/>
      <c r="R615" s="69"/>
    </row>
    <row r="616" spans="1:18" ht="61.5" customHeight="1" x14ac:dyDescent="0.25">
      <c r="A616" s="16" t="s">
        <v>532</v>
      </c>
      <c r="B616" s="49">
        <v>793</v>
      </c>
      <c r="C616" s="15" t="s">
        <v>98</v>
      </c>
      <c r="D616" s="15" t="s">
        <v>98</v>
      </c>
      <c r="E616" s="15" t="s">
        <v>351</v>
      </c>
      <c r="F616" s="15"/>
      <c r="G616" s="70">
        <f>G617</f>
        <v>500000</v>
      </c>
      <c r="H616" s="70">
        <f t="shared" ref="H616:I616" si="262">H617</f>
        <v>0</v>
      </c>
      <c r="I616" s="70">
        <f t="shared" si="262"/>
        <v>0</v>
      </c>
      <c r="J616" s="212"/>
      <c r="K616" s="69"/>
      <c r="L616" s="69"/>
      <c r="M616" s="69"/>
      <c r="N616" s="69"/>
      <c r="O616" s="69"/>
      <c r="P616" s="69"/>
      <c r="Q616" s="69"/>
      <c r="R616" s="69"/>
    </row>
    <row r="617" spans="1:18" ht="40.5" customHeight="1" x14ac:dyDescent="0.25">
      <c r="A617" s="16" t="s">
        <v>69</v>
      </c>
      <c r="B617" s="49">
        <v>793</v>
      </c>
      <c r="C617" s="15" t="s">
        <v>98</v>
      </c>
      <c r="D617" s="15" t="s">
        <v>98</v>
      </c>
      <c r="E617" s="15" t="s">
        <v>351</v>
      </c>
      <c r="F617" s="15" t="s">
        <v>215</v>
      </c>
      <c r="G617" s="70">
        <f>G618</f>
        <v>500000</v>
      </c>
      <c r="H617" s="70">
        <f t="shared" ref="H617:I617" si="263">H618</f>
        <v>0</v>
      </c>
      <c r="I617" s="70">
        <f t="shared" si="263"/>
        <v>0</v>
      </c>
      <c r="J617" s="212"/>
      <c r="K617" s="69"/>
      <c r="L617" s="69"/>
      <c r="M617" s="69"/>
      <c r="N617" s="69"/>
      <c r="O617" s="69"/>
      <c r="P617" s="69"/>
      <c r="Q617" s="69"/>
      <c r="R617" s="69"/>
    </row>
    <row r="618" spans="1:18" ht="31.5" customHeight="1" x14ac:dyDescent="0.25">
      <c r="A618" s="16" t="s">
        <v>216</v>
      </c>
      <c r="B618" s="49">
        <v>793</v>
      </c>
      <c r="C618" s="15" t="s">
        <v>98</v>
      </c>
      <c r="D618" s="15" t="s">
        <v>98</v>
      </c>
      <c r="E618" s="15" t="s">
        <v>351</v>
      </c>
      <c r="F618" s="15" t="s">
        <v>217</v>
      </c>
      <c r="G618" s="70">
        <v>500000</v>
      </c>
      <c r="H618" s="70"/>
      <c r="I618" s="70"/>
      <c r="J618" s="212"/>
      <c r="K618" s="69"/>
      <c r="L618" s="69"/>
      <c r="M618" s="69"/>
      <c r="N618" s="69"/>
      <c r="O618" s="69"/>
      <c r="P618" s="69"/>
      <c r="Q618" s="69"/>
      <c r="R618" s="69"/>
    </row>
    <row r="619" spans="1:18" s="22" customFormat="1" ht="22.5" customHeight="1" x14ac:dyDescent="0.25">
      <c r="A619" s="34" t="s">
        <v>0</v>
      </c>
      <c r="B619" s="19">
        <v>793</v>
      </c>
      <c r="C619" s="36" t="s">
        <v>92</v>
      </c>
      <c r="D619" s="36"/>
      <c r="E619" s="36"/>
      <c r="F619" s="36"/>
      <c r="G619" s="71">
        <f>G620</f>
        <v>8494195.120000001</v>
      </c>
      <c r="H619" s="71">
        <f t="shared" ref="H619:I620" si="264">H620</f>
        <v>8400000</v>
      </c>
      <c r="I619" s="71">
        <f t="shared" si="264"/>
        <v>8400000</v>
      </c>
      <c r="J619" s="204" t="e">
        <f>G624+G629+G636+#REF!+#REF!</f>
        <v>#REF!</v>
      </c>
      <c r="K619" s="61"/>
      <c r="L619" s="61"/>
      <c r="M619" s="61"/>
      <c r="N619" s="61"/>
      <c r="O619" s="61"/>
      <c r="P619" s="61"/>
      <c r="Q619" s="182"/>
      <c r="R619" s="61"/>
    </row>
    <row r="620" spans="1:18" s="3" customFormat="1" ht="24.75" customHeight="1" x14ac:dyDescent="0.25">
      <c r="A620" s="16" t="s">
        <v>219</v>
      </c>
      <c r="B620" s="49">
        <v>793</v>
      </c>
      <c r="C620" s="15" t="s">
        <v>92</v>
      </c>
      <c r="D620" s="15" t="s">
        <v>98</v>
      </c>
      <c r="E620" s="15"/>
      <c r="F620" s="15"/>
      <c r="G620" s="70">
        <f>G621</f>
        <v>8494195.120000001</v>
      </c>
      <c r="H620" s="70">
        <f t="shared" si="264"/>
        <v>8400000</v>
      </c>
      <c r="I620" s="70">
        <f t="shared" si="264"/>
        <v>8400000</v>
      </c>
      <c r="J620" s="136"/>
      <c r="K620" s="62"/>
      <c r="L620" s="62"/>
      <c r="M620" s="62"/>
      <c r="N620" s="63"/>
      <c r="O620" s="62"/>
      <c r="P620" s="62"/>
      <c r="Q620" s="62"/>
      <c r="R620" s="62"/>
    </row>
    <row r="621" spans="1:18" s="3" customFormat="1" ht="48" customHeight="1" x14ac:dyDescent="0.25">
      <c r="A621" s="78" t="s">
        <v>364</v>
      </c>
      <c r="B621" s="273">
        <v>793</v>
      </c>
      <c r="C621" s="79" t="s">
        <v>92</v>
      </c>
      <c r="D621" s="79" t="s">
        <v>98</v>
      </c>
      <c r="E621" s="79" t="s">
        <v>167</v>
      </c>
      <c r="F621" s="79"/>
      <c r="G621" s="81">
        <f>G622+G625+G628+G631+G634</f>
        <v>8494195.120000001</v>
      </c>
      <c r="H621" s="81">
        <f t="shared" ref="H621:I621" si="265">H622+H625+H628+H631+H634</f>
        <v>8400000</v>
      </c>
      <c r="I621" s="81">
        <f t="shared" si="265"/>
        <v>8400000</v>
      </c>
      <c r="J621" s="136"/>
      <c r="K621" s="62"/>
      <c r="L621" s="62"/>
      <c r="M621" s="62"/>
      <c r="N621" s="63"/>
      <c r="O621" s="62"/>
      <c r="P621" s="62"/>
      <c r="Q621" s="62"/>
      <c r="R621" s="62"/>
    </row>
    <row r="622" spans="1:18" s="3" customFormat="1" ht="38.25" customHeight="1" x14ac:dyDescent="0.25">
      <c r="A622" s="78" t="s">
        <v>258</v>
      </c>
      <c r="B622" s="273">
        <v>793</v>
      </c>
      <c r="C622" s="79" t="s">
        <v>92</v>
      </c>
      <c r="D622" s="79" t="s">
        <v>98</v>
      </c>
      <c r="E622" s="79" t="s">
        <v>233</v>
      </c>
      <c r="F622" s="79"/>
      <c r="G622" s="81">
        <f t="shared" ref="G622:I626" si="266">G623</f>
        <v>4538811.55</v>
      </c>
      <c r="H622" s="81">
        <f t="shared" si="266"/>
        <v>4500000</v>
      </c>
      <c r="I622" s="81">
        <f t="shared" si="266"/>
        <v>4500000</v>
      </c>
      <c r="J622" s="136"/>
      <c r="K622" s="62"/>
      <c r="L622" s="62"/>
      <c r="M622" s="62"/>
      <c r="N622" s="62"/>
      <c r="O622" s="62"/>
      <c r="P622" s="62"/>
      <c r="Q622" s="62"/>
      <c r="R622" s="62"/>
    </row>
    <row r="623" spans="1:18" s="3" customFormat="1" ht="38.25" customHeight="1" x14ac:dyDescent="0.25">
      <c r="A623" s="78" t="s">
        <v>25</v>
      </c>
      <c r="B623" s="273">
        <v>793</v>
      </c>
      <c r="C623" s="79" t="s">
        <v>92</v>
      </c>
      <c r="D623" s="79" t="s">
        <v>98</v>
      </c>
      <c r="E623" s="79" t="s">
        <v>233</v>
      </c>
      <c r="F623" s="79" t="s">
        <v>26</v>
      </c>
      <c r="G623" s="81">
        <f t="shared" si="266"/>
        <v>4538811.55</v>
      </c>
      <c r="H623" s="81">
        <f t="shared" si="266"/>
        <v>4500000</v>
      </c>
      <c r="I623" s="81">
        <f t="shared" si="266"/>
        <v>4500000</v>
      </c>
      <c r="J623" s="136"/>
      <c r="K623" s="62"/>
      <c r="L623" s="62"/>
      <c r="M623" s="62"/>
      <c r="N623" s="62"/>
      <c r="O623" s="62"/>
      <c r="P623" s="62"/>
      <c r="Q623" s="62"/>
      <c r="R623" s="62"/>
    </row>
    <row r="624" spans="1:18" s="3" customFormat="1" ht="38.25" customHeight="1" x14ac:dyDescent="0.25">
      <c r="A624" s="78" t="s">
        <v>27</v>
      </c>
      <c r="B624" s="273">
        <v>793</v>
      </c>
      <c r="C624" s="79" t="s">
        <v>92</v>
      </c>
      <c r="D624" s="79" t="s">
        <v>98</v>
      </c>
      <c r="E624" s="79" t="s">
        <v>233</v>
      </c>
      <c r="F624" s="79" t="s">
        <v>28</v>
      </c>
      <c r="G624" s="81">
        <v>4538811.55</v>
      </c>
      <c r="H624" s="81">
        <v>4500000</v>
      </c>
      <c r="I624" s="81">
        <v>4500000</v>
      </c>
      <c r="J624" s="136"/>
      <c r="K624" s="62"/>
      <c r="L624" s="62"/>
      <c r="M624" s="62"/>
      <c r="N624" s="62"/>
      <c r="O624" s="62"/>
      <c r="P624" s="62"/>
      <c r="Q624" s="62"/>
      <c r="R624" s="62"/>
    </row>
    <row r="625" spans="1:18" s="3" customFormat="1" ht="38.25" customHeight="1" x14ac:dyDescent="0.25">
      <c r="A625" s="78" t="s">
        <v>462</v>
      </c>
      <c r="B625" s="273">
        <v>793</v>
      </c>
      <c r="C625" s="79" t="s">
        <v>92</v>
      </c>
      <c r="D625" s="79" t="s">
        <v>98</v>
      </c>
      <c r="E625" s="79" t="s">
        <v>461</v>
      </c>
      <c r="F625" s="79"/>
      <c r="G625" s="81">
        <f t="shared" si="266"/>
        <v>200000</v>
      </c>
      <c r="H625" s="81">
        <f t="shared" si="266"/>
        <v>200000</v>
      </c>
      <c r="I625" s="81">
        <f t="shared" si="266"/>
        <v>200000</v>
      </c>
      <c r="J625" s="136"/>
      <c r="K625" s="62"/>
      <c r="L625" s="62"/>
      <c r="M625" s="62"/>
      <c r="N625" s="62"/>
      <c r="O625" s="62"/>
      <c r="P625" s="62"/>
      <c r="Q625" s="62"/>
      <c r="R625" s="62"/>
    </row>
    <row r="626" spans="1:18" s="3" customFormat="1" ht="38.25" customHeight="1" x14ac:dyDescent="0.25">
      <c r="A626" s="78" t="s">
        <v>25</v>
      </c>
      <c r="B626" s="273">
        <v>793</v>
      </c>
      <c r="C626" s="79" t="s">
        <v>92</v>
      </c>
      <c r="D626" s="79" t="s">
        <v>98</v>
      </c>
      <c r="E626" s="79" t="s">
        <v>461</v>
      </c>
      <c r="F626" s="79" t="s">
        <v>26</v>
      </c>
      <c r="G626" s="81">
        <f t="shared" si="266"/>
        <v>200000</v>
      </c>
      <c r="H626" s="81">
        <f t="shared" si="266"/>
        <v>200000</v>
      </c>
      <c r="I626" s="81">
        <f t="shared" si="266"/>
        <v>200000</v>
      </c>
      <c r="J626" s="136"/>
      <c r="K626" s="62"/>
      <c r="L626" s="62"/>
      <c r="M626" s="62"/>
      <c r="N626" s="62"/>
      <c r="O626" s="62"/>
      <c r="P626" s="62"/>
      <c r="Q626" s="62"/>
      <c r="R626" s="62"/>
    </row>
    <row r="627" spans="1:18" s="3" customFormat="1" ht="38.25" customHeight="1" x14ac:dyDescent="0.25">
      <c r="A627" s="78" t="s">
        <v>27</v>
      </c>
      <c r="B627" s="273">
        <v>793</v>
      </c>
      <c r="C627" s="79" t="s">
        <v>92</v>
      </c>
      <c r="D627" s="79" t="s">
        <v>98</v>
      </c>
      <c r="E627" s="79" t="s">
        <v>461</v>
      </c>
      <c r="F627" s="79" t="s">
        <v>28</v>
      </c>
      <c r="G627" s="81">
        <v>200000</v>
      </c>
      <c r="H627" s="81">
        <v>200000</v>
      </c>
      <c r="I627" s="81">
        <v>200000</v>
      </c>
      <c r="J627" s="136"/>
      <c r="K627" s="62"/>
      <c r="L627" s="62"/>
      <c r="M627" s="62"/>
      <c r="N627" s="62"/>
      <c r="O627" s="62"/>
      <c r="P627" s="62"/>
      <c r="Q627" s="62"/>
      <c r="R627" s="62"/>
    </row>
    <row r="628" spans="1:18" s="3" customFormat="1" ht="38.25" customHeight="1" x14ac:dyDescent="0.25">
      <c r="A628" s="109" t="s">
        <v>270</v>
      </c>
      <c r="B628" s="273">
        <v>793</v>
      </c>
      <c r="C628" s="79" t="s">
        <v>92</v>
      </c>
      <c r="D628" s="79" t="s">
        <v>98</v>
      </c>
      <c r="E628" s="79" t="s">
        <v>404</v>
      </c>
      <c r="F628" s="79"/>
      <c r="G628" s="81">
        <f t="shared" ref="G628:I635" si="267">G629</f>
        <v>400933.57</v>
      </c>
      <c r="H628" s="81">
        <f t="shared" si="267"/>
        <v>400000</v>
      </c>
      <c r="I628" s="81">
        <f t="shared" si="267"/>
        <v>400000</v>
      </c>
      <c r="J628" s="136"/>
      <c r="K628" s="62"/>
      <c r="L628" s="62"/>
      <c r="M628" s="62"/>
      <c r="N628" s="62"/>
      <c r="O628" s="62"/>
      <c r="P628" s="62"/>
      <c r="Q628" s="62"/>
      <c r="R628" s="62"/>
    </row>
    <row r="629" spans="1:18" s="3" customFormat="1" ht="38.25" customHeight="1" x14ac:dyDescent="0.25">
      <c r="A629" s="78" t="s">
        <v>25</v>
      </c>
      <c r="B629" s="273">
        <v>793</v>
      </c>
      <c r="C629" s="79" t="s">
        <v>92</v>
      </c>
      <c r="D629" s="79" t="s">
        <v>98</v>
      </c>
      <c r="E629" s="79" t="s">
        <v>404</v>
      </c>
      <c r="F629" s="79" t="s">
        <v>26</v>
      </c>
      <c r="G629" s="81">
        <f t="shared" si="267"/>
        <v>400933.57</v>
      </c>
      <c r="H629" s="81">
        <f t="shared" si="267"/>
        <v>400000</v>
      </c>
      <c r="I629" s="81">
        <f t="shared" si="267"/>
        <v>400000</v>
      </c>
      <c r="J629" s="136"/>
      <c r="K629" s="62"/>
      <c r="L629" s="62"/>
      <c r="M629" s="62"/>
      <c r="N629" s="62"/>
      <c r="O629" s="62"/>
      <c r="P629" s="62"/>
      <c r="Q629" s="62"/>
      <c r="R629" s="62"/>
    </row>
    <row r="630" spans="1:18" s="3" customFormat="1" ht="39.75" customHeight="1" x14ac:dyDescent="0.25">
      <c r="A630" s="78" t="s">
        <v>27</v>
      </c>
      <c r="B630" s="273">
        <v>793</v>
      </c>
      <c r="C630" s="79" t="s">
        <v>92</v>
      </c>
      <c r="D630" s="79" t="s">
        <v>98</v>
      </c>
      <c r="E630" s="79" t="s">
        <v>404</v>
      </c>
      <c r="F630" s="79" t="s">
        <v>28</v>
      </c>
      <c r="G630" s="81">
        <v>400933.57</v>
      </c>
      <c r="H630" s="81">
        <v>400000</v>
      </c>
      <c r="I630" s="81">
        <v>400000</v>
      </c>
      <c r="J630" s="136"/>
      <c r="K630" s="62"/>
      <c r="L630" s="62"/>
      <c r="M630" s="62"/>
      <c r="N630" s="62"/>
      <c r="O630" s="62"/>
      <c r="P630" s="62"/>
      <c r="Q630" s="62"/>
      <c r="R630" s="62"/>
    </row>
    <row r="631" spans="1:18" s="3" customFormat="1" ht="38.25" customHeight="1" x14ac:dyDescent="0.25">
      <c r="A631" s="109" t="s">
        <v>423</v>
      </c>
      <c r="B631" s="273">
        <v>793</v>
      </c>
      <c r="C631" s="79" t="s">
        <v>92</v>
      </c>
      <c r="D631" s="79" t="s">
        <v>98</v>
      </c>
      <c r="E631" s="79" t="s">
        <v>422</v>
      </c>
      <c r="F631" s="79"/>
      <c r="G631" s="81">
        <f t="shared" si="267"/>
        <v>154450</v>
      </c>
      <c r="H631" s="81">
        <f t="shared" si="267"/>
        <v>100000</v>
      </c>
      <c r="I631" s="81">
        <f t="shared" si="267"/>
        <v>100000</v>
      </c>
      <c r="J631" s="136"/>
      <c r="K631" s="62"/>
      <c r="L631" s="62"/>
      <c r="M631" s="62"/>
      <c r="N631" s="62"/>
      <c r="O631" s="62"/>
      <c r="P631" s="62"/>
      <c r="Q631" s="62"/>
      <c r="R631" s="62"/>
    </row>
    <row r="632" spans="1:18" s="3" customFormat="1" ht="38.25" customHeight="1" x14ac:dyDescent="0.25">
      <c r="A632" s="78" t="s">
        <v>25</v>
      </c>
      <c r="B632" s="273">
        <v>793</v>
      </c>
      <c r="C632" s="79" t="s">
        <v>92</v>
      </c>
      <c r="D632" s="79" t="s">
        <v>98</v>
      </c>
      <c r="E632" s="79" t="s">
        <v>422</v>
      </c>
      <c r="F632" s="79" t="s">
        <v>26</v>
      </c>
      <c r="G632" s="81">
        <f t="shared" si="267"/>
        <v>154450</v>
      </c>
      <c r="H632" s="81">
        <f t="shared" si="267"/>
        <v>100000</v>
      </c>
      <c r="I632" s="81">
        <f t="shared" si="267"/>
        <v>100000</v>
      </c>
      <c r="J632" s="136"/>
      <c r="K632" s="62"/>
      <c r="L632" s="62"/>
      <c r="M632" s="62"/>
      <c r="N632" s="62"/>
      <c r="O632" s="62"/>
      <c r="P632" s="62"/>
      <c r="Q632" s="62"/>
      <c r="R632" s="62"/>
    </row>
    <row r="633" spans="1:18" s="3" customFormat="1" ht="39.75" customHeight="1" x14ac:dyDescent="0.25">
      <c r="A633" s="78" t="s">
        <v>27</v>
      </c>
      <c r="B633" s="273">
        <v>793</v>
      </c>
      <c r="C633" s="79" t="s">
        <v>92</v>
      </c>
      <c r="D633" s="79" t="s">
        <v>98</v>
      </c>
      <c r="E633" s="79" t="s">
        <v>422</v>
      </c>
      <c r="F633" s="79" t="s">
        <v>28</v>
      </c>
      <c r="G633" s="81">
        <v>154450</v>
      </c>
      <c r="H633" s="81">
        <v>100000</v>
      </c>
      <c r="I633" s="81">
        <v>100000</v>
      </c>
      <c r="J633" s="136"/>
      <c r="K633" s="62"/>
      <c r="L633" s="62"/>
      <c r="M633" s="62"/>
      <c r="N633" s="62"/>
      <c r="O633" s="62"/>
      <c r="P633" s="62"/>
      <c r="Q633" s="62"/>
      <c r="R633" s="62"/>
    </row>
    <row r="634" spans="1:18" s="3" customFormat="1" ht="38.25" customHeight="1" x14ac:dyDescent="0.25">
      <c r="A634" s="78" t="s">
        <v>343</v>
      </c>
      <c r="B634" s="273">
        <v>793</v>
      </c>
      <c r="C634" s="79" t="s">
        <v>92</v>
      </c>
      <c r="D634" s="79" t="s">
        <v>98</v>
      </c>
      <c r="E634" s="79" t="s">
        <v>342</v>
      </c>
      <c r="F634" s="79"/>
      <c r="G634" s="81">
        <f t="shared" si="267"/>
        <v>3200000</v>
      </c>
      <c r="H634" s="81">
        <f t="shared" si="267"/>
        <v>3200000</v>
      </c>
      <c r="I634" s="81">
        <f t="shared" si="267"/>
        <v>3200000</v>
      </c>
      <c r="J634" s="136"/>
      <c r="K634" s="62"/>
      <c r="L634" s="62"/>
      <c r="M634" s="62"/>
      <c r="N634" s="62"/>
      <c r="O634" s="62"/>
      <c r="P634" s="62"/>
      <c r="Q634" s="62"/>
      <c r="R634" s="62"/>
    </row>
    <row r="635" spans="1:18" s="3" customFormat="1" ht="38.25" customHeight="1" x14ac:dyDescent="0.25">
      <c r="A635" s="78" t="s">
        <v>25</v>
      </c>
      <c r="B635" s="273">
        <v>793</v>
      </c>
      <c r="C635" s="79" t="s">
        <v>92</v>
      </c>
      <c r="D635" s="79" t="s">
        <v>98</v>
      </c>
      <c r="E635" s="79" t="s">
        <v>342</v>
      </c>
      <c r="F635" s="79" t="s">
        <v>26</v>
      </c>
      <c r="G635" s="81">
        <f t="shared" si="267"/>
        <v>3200000</v>
      </c>
      <c r="H635" s="81">
        <f t="shared" si="267"/>
        <v>3200000</v>
      </c>
      <c r="I635" s="81">
        <f t="shared" si="267"/>
        <v>3200000</v>
      </c>
      <c r="J635" s="136"/>
      <c r="K635" s="62"/>
      <c r="L635" s="62"/>
      <c r="M635" s="62"/>
      <c r="N635" s="62"/>
      <c r="O635" s="62"/>
      <c r="P635" s="62"/>
      <c r="Q635" s="62"/>
      <c r="R635" s="62"/>
    </row>
    <row r="636" spans="1:18" s="3" customFormat="1" ht="39.75" customHeight="1" x14ac:dyDescent="0.25">
      <c r="A636" s="78" t="s">
        <v>27</v>
      </c>
      <c r="B636" s="273">
        <v>793</v>
      </c>
      <c r="C636" s="79" t="s">
        <v>92</v>
      </c>
      <c r="D636" s="79" t="s">
        <v>98</v>
      </c>
      <c r="E636" s="79" t="s">
        <v>342</v>
      </c>
      <c r="F636" s="79" t="s">
        <v>28</v>
      </c>
      <c r="G636" s="81">
        <v>3200000</v>
      </c>
      <c r="H636" s="81">
        <v>3200000</v>
      </c>
      <c r="I636" s="81">
        <v>3200000</v>
      </c>
      <c r="J636" s="136"/>
      <c r="K636" s="62"/>
      <c r="L636" s="62"/>
      <c r="M636" s="62"/>
      <c r="N636" s="62"/>
      <c r="O636" s="62"/>
      <c r="P636" s="62"/>
      <c r="Q636" s="62"/>
      <c r="R636" s="62"/>
    </row>
    <row r="637" spans="1:18" x14ac:dyDescent="0.25">
      <c r="A637" s="189" t="s">
        <v>16</v>
      </c>
      <c r="B637" s="190">
        <v>793</v>
      </c>
      <c r="C637" s="191" t="s">
        <v>17</v>
      </c>
      <c r="D637" s="191"/>
      <c r="E637" s="191"/>
      <c r="F637" s="191"/>
      <c r="G637" s="188">
        <f>G638</f>
        <v>456601502.75</v>
      </c>
      <c r="H637" s="188">
        <f t="shared" ref="H637:I637" si="268">H638</f>
        <v>472642628.36000001</v>
      </c>
      <c r="I637" s="188">
        <f t="shared" si="268"/>
        <v>0</v>
      </c>
      <c r="J637" s="147"/>
      <c r="K637" s="160"/>
    </row>
    <row r="638" spans="1:18" ht="22.5" customHeight="1" x14ac:dyDescent="0.25">
      <c r="A638" s="111" t="s">
        <v>18</v>
      </c>
      <c r="B638" s="273">
        <v>793</v>
      </c>
      <c r="C638" s="79" t="s">
        <v>17</v>
      </c>
      <c r="D638" s="79" t="s">
        <v>19</v>
      </c>
      <c r="E638" s="79"/>
      <c r="F638" s="79"/>
      <c r="G638" s="81">
        <f>G639</f>
        <v>456601502.75</v>
      </c>
      <c r="H638" s="81">
        <f t="shared" ref="H638:I638" si="269">H639</f>
        <v>472642628.36000001</v>
      </c>
      <c r="I638" s="81">
        <f t="shared" si="269"/>
        <v>0</v>
      </c>
      <c r="J638" s="137"/>
      <c r="N638" s="160"/>
    </row>
    <row r="639" spans="1:18" ht="41.25" customHeight="1" x14ac:dyDescent="0.25">
      <c r="A639" s="78" t="s">
        <v>359</v>
      </c>
      <c r="B639" s="120">
        <v>793</v>
      </c>
      <c r="C639" s="79" t="s">
        <v>17</v>
      </c>
      <c r="D639" s="79" t="s">
        <v>19</v>
      </c>
      <c r="E639" s="79" t="s">
        <v>168</v>
      </c>
      <c r="F639" s="79"/>
      <c r="G639" s="81">
        <f>G640+G646+G643+G649+G652</f>
        <v>456601502.75</v>
      </c>
      <c r="H639" s="81">
        <f t="shared" ref="H639:I639" si="270">H640+H646+H643+H649+H652</f>
        <v>472642628.36000001</v>
      </c>
      <c r="I639" s="81">
        <f t="shared" si="270"/>
        <v>0</v>
      </c>
      <c r="J639" s="136"/>
      <c r="K639" s="69"/>
      <c r="L639" s="69"/>
      <c r="M639" s="69"/>
      <c r="N639" s="69"/>
      <c r="O639" s="69"/>
      <c r="P639" s="69"/>
      <c r="Q639" s="69"/>
      <c r="R639" s="69"/>
    </row>
    <row r="640" spans="1:18" ht="62.25" customHeight="1" x14ac:dyDescent="0.25">
      <c r="A640" s="109" t="s">
        <v>509</v>
      </c>
      <c r="B640" s="120">
        <v>793</v>
      </c>
      <c r="C640" s="79" t="s">
        <v>17</v>
      </c>
      <c r="D640" s="79" t="s">
        <v>19</v>
      </c>
      <c r="E640" s="79" t="s">
        <v>533</v>
      </c>
      <c r="F640" s="79"/>
      <c r="G640" s="81">
        <f>G641</f>
        <v>228140549</v>
      </c>
      <c r="H640" s="81">
        <f t="shared" ref="H640:I647" si="271">H641</f>
        <v>239605367</v>
      </c>
      <c r="I640" s="81">
        <f t="shared" si="271"/>
        <v>0</v>
      </c>
      <c r="J640" s="136"/>
      <c r="K640" s="69"/>
      <c r="L640" s="69"/>
      <c r="M640" s="69"/>
      <c r="N640" s="69"/>
      <c r="O640" s="69"/>
      <c r="P640" s="69"/>
      <c r="Q640" s="69"/>
      <c r="R640" s="69"/>
    </row>
    <row r="641" spans="1:18" ht="30" customHeight="1" x14ac:dyDescent="0.25">
      <c r="A641" s="78" t="s">
        <v>69</v>
      </c>
      <c r="B641" s="120">
        <v>793</v>
      </c>
      <c r="C641" s="79" t="s">
        <v>17</v>
      </c>
      <c r="D641" s="79" t="s">
        <v>19</v>
      </c>
      <c r="E641" s="79" t="s">
        <v>533</v>
      </c>
      <c r="F641" s="79" t="s">
        <v>215</v>
      </c>
      <c r="G641" s="81">
        <f>G642</f>
        <v>228140549</v>
      </c>
      <c r="H641" s="81">
        <f t="shared" si="271"/>
        <v>239605367</v>
      </c>
      <c r="I641" s="81">
        <f t="shared" si="271"/>
        <v>0</v>
      </c>
      <c r="J641" s="136"/>
      <c r="K641" s="69"/>
      <c r="L641" s="69"/>
      <c r="M641" s="69"/>
      <c r="N641" s="69"/>
      <c r="O641" s="69"/>
      <c r="P641" s="69"/>
      <c r="Q641" s="69"/>
      <c r="R641" s="69"/>
    </row>
    <row r="642" spans="1:18" ht="30.75" customHeight="1" x14ac:dyDescent="0.25">
      <c r="A642" s="78" t="s">
        <v>216</v>
      </c>
      <c r="B642" s="120">
        <v>793</v>
      </c>
      <c r="C642" s="79" t="s">
        <v>17</v>
      </c>
      <c r="D642" s="79" t="s">
        <v>19</v>
      </c>
      <c r="E642" s="79" t="s">
        <v>533</v>
      </c>
      <c r="F642" s="79" t="s">
        <v>217</v>
      </c>
      <c r="G642" s="81">
        <f>227993270+147279</f>
        <v>228140549</v>
      </c>
      <c r="H642" s="81">
        <f>239470200+135167</f>
        <v>239605367</v>
      </c>
      <c r="I642" s="81"/>
      <c r="J642" s="136"/>
      <c r="K642" s="69"/>
      <c r="L642" s="69"/>
      <c r="M642" s="69"/>
      <c r="N642" s="69"/>
      <c r="O642" s="69"/>
      <c r="P642" s="69"/>
      <c r="Q642" s="69"/>
      <c r="R642" s="69"/>
    </row>
    <row r="643" spans="1:18" ht="62.25" hidden="1" customHeight="1" x14ac:dyDescent="0.25">
      <c r="A643" s="109" t="s">
        <v>464</v>
      </c>
      <c r="B643" s="120">
        <v>793</v>
      </c>
      <c r="C643" s="79" t="s">
        <v>17</v>
      </c>
      <c r="D643" s="79" t="s">
        <v>19</v>
      </c>
      <c r="E643" s="79" t="s">
        <v>463</v>
      </c>
      <c r="F643" s="79"/>
      <c r="G643" s="81">
        <f>G644</f>
        <v>0</v>
      </c>
      <c r="H643" s="81">
        <f t="shared" si="271"/>
        <v>0</v>
      </c>
      <c r="I643" s="81">
        <f t="shared" si="271"/>
        <v>0</v>
      </c>
      <c r="J643" s="136"/>
      <c r="K643" s="69"/>
      <c r="L643" s="69"/>
      <c r="M643" s="69"/>
      <c r="N643" s="69"/>
      <c r="O643" s="69"/>
      <c r="P643" s="69"/>
      <c r="Q643" s="69"/>
      <c r="R643" s="69"/>
    </row>
    <row r="644" spans="1:18" ht="30" hidden="1" customHeight="1" x14ac:dyDescent="0.25">
      <c r="A644" s="78" t="s">
        <v>69</v>
      </c>
      <c r="B644" s="120">
        <v>793</v>
      </c>
      <c r="C644" s="79" t="s">
        <v>17</v>
      </c>
      <c r="D644" s="79" t="s">
        <v>19</v>
      </c>
      <c r="E644" s="79" t="s">
        <v>463</v>
      </c>
      <c r="F644" s="79" t="s">
        <v>215</v>
      </c>
      <c r="G644" s="81">
        <f>G645</f>
        <v>0</v>
      </c>
      <c r="H644" s="81">
        <f t="shared" si="271"/>
        <v>0</v>
      </c>
      <c r="I644" s="81">
        <f t="shared" si="271"/>
        <v>0</v>
      </c>
      <c r="J644" s="136"/>
      <c r="K644" s="69"/>
      <c r="L644" s="69"/>
      <c r="M644" s="69"/>
      <c r="N644" s="69"/>
      <c r="O644" s="69"/>
      <c r="P644" s="69"/>
      <c r="Q644" s="69"/>
      <c r="R644" s="69"/>
    </row>
    <row r="645" spans="1:18" ht="30.75" hidden="1" customHeight="1" x14ac:dyDescent="0.25">
      <c r="A645" s="78" t="s">
        <v>216</v>
      </c>
      <c r="B645" s="120">
        <v>793</v>
      </c>
      <c r="C645" s="79" t="s">
        <v>17</v>
      </c>
      <c r="D645" s="79" t="s">
        <v>19</v>
      </c>
      <c r="E645" s="79" t="s">
        <v>463</v>
      </c>
      <c r="F645" s="79" t="s">
        <v>217</v>
      </c>
      <c r="G645" s="81"/>
      <c r="H645" s="81"/>
      <c r="I645" s="81"/>
      <c r="J645" s="136"/>
      <c r="K645" s="69"/>
      <c r="L645" s="69"/>
      <c r="M645" s="69"/>
      <c r="N645" s="69"/>
      <c r="O645" s="69"/>
      <c r="P645" s="69"/>
      <c r="Q645" s="69"/>
      <c r="R645" s="69"/>
    </row>
    <row r="646" spans="1:18" ht="62.25" customHeight="1" x14ac:dyDescent="0.25">
      <c r="A646" s="109" t="s">
        <v>510</v>
      </c>
      <c r="B646" s="120">
        <v>793</v>
      </c>
      <c r="C646" s="79" t="s">
        <v>17</v>
      </c>
      <c r="D646" s="79" t="s">
        <v>19</v>
      </c>
      <c r="E646" s="79" t="s">
        <v>534</v>
      </c>
      <c r="F646" s="79"/>
      <c r="G646" s="81">
        <f>G647</f>
        <v>91064953.75</v>
      </c>
      <c r="H646" s="81">
        <f t="shared" si="271"/>
        <v>95641261.359999999</v>
      </c>
      <c r="I646" s="81">
        <f t="shared" si="271"/>
        <v>0</v>
      </c>
      <c r="J646" s="136"/>
      <c r="K646" s="69"/>
      <c r="L646" s="69"/>
      <c r="M646" s="69"/>
      <c r="N646" s="69"/>
      <c r="O646" s="69"/>
      <c r="P646" s="69"/>
      <c r="Q646" s="69"/>
      <c r="R646" s="69"/>
    </row>
    <row r="647" spans="1:18" ht="30" customHeight="1" x14ac:dyDescent="0.25">
      <c r="A647" s="78" t="s">
        <v>69</v>
      </c>
      <c r="B647" s="120">
        <v>793</v>
      </c>
      <c r="C647" s="79" t="s">
        <v>17</v>
      </c>
      <c r="D647" s="79" t="s">
        <v>19</v>
      </c>
      <c r="E647" s="79" t="s">
        <v>534</v>
      </c>
      <c r="F647" s="79" t="s">
        <v>215</v>
      </c>
      <c r="G647" s="81">
        <f>G648</f>
        <v>91064953.75</v>
      </c>
      <c r="H647" s="81">
        <f t="shared" si="271"/>
        <v>95641261.359999999</v>
      </c>
      <c r="I647" s="81">
        <f t="shared" si="271"/>
        <v>0</v>
      </c>
      <c r="J647" s="136"/>
      <c r="K647" s="69"/>
      <c r="L647" s="69"/>
      <c r="M647" s="69"/>
      <c r="N647" s="69"/>
      <c r="O647" s="69"/>
      <c r="P647" s="69"/>
      <c r="Q647" s="69"/>
      <c r="R647" s="69"/>
    </row>
    <row r="648" spans="1:18" ht="30.75" customHeight="1" x14ac:dyDescent="0.25">
      <c r="A648" s="78" t="s">
        <v>216</v>
      </c>
      <c r="B648" s="120">
        <v>793</v>
      </c>
      <c r="C648" s="79" t="s">
        <v>17</v>
      </c>
      <c r="D648" s="79" t="s">
        <v>19</v>
      </c>
      <c r="E648" s="79" t="s">
        <v>534</v>
      </c>
      <c r="F648" s="79" t="s">
        <v>217</v>
      </c>
      <c r="G648" s="81">
        <f>91006130+58823.75</f>
        <v>91064953.75</v>
      </c>
      <c r="H648" s="81">
        <f>95587330+53931.36</f>
        <v>95641261.359999999</v>
      </c>
      <c r="I648" s="81"/>
      <c r="J648" s="136"/>
      <c r="K648" s="69"/>
      <c r="L648" s="69"/>
      <c r="M648" s="69"/>
      <c r="N648" s="69"/>
      <c r="O648" s="69"/>
      <c r="P648" s="69"/>
      <c r="Q648" s="69"/>
      <c r="R648" s="69"/>
    </row>
    <row r="649" spans="1:18" ht="90" customHeight="1" x14ac:dyDescent="0.25">
      <c r="A649" s="296" t="s">
        <v>552</v>
      </c>
      <c r="B649" s="14">
        <v>793</v>
      </c>
      <c r="C649" s="79" t="s">
        <v>17</v>
      </c>
      <c r="D649" s="79" t="s">
        <v>19</v>
      </c>
      <c r="E649" s="15" t="s">
        <v>553</v>
      </c>
      <c r="F649" s="15"/>
      <c r="G649" s="70">
        <f>G650</f>
        <v>98199000</v>
      </c>
      <c r="H649" s="70">
        <f t="shared" ref="H649:I650" si="272">H650</f>
        <v>98199000</v>
      </c>
      <c r="I649" s="70">
        <f t="shared" si="272"/>
        <v>0</v>
      </c>
      <c r="J649" s="136"/>
      <c r="K649" s="69"/>
      <c r="L649" s="69"/>
      <c r="M649" s="69"/>
      <c r="N649" s="69"/>
      <c r="O649" s="69"/>
      <c r="P649" s="69"/>
      <c r="Q649" s="69"/>
      <c r="R649" s="69"/>
    </row>
    <row r="650" spans="1:18" ht="30" customHeight="1" x14ac:dyDescent="0.25">
      <c r="A650" s="295" t="s">
        <v>69</v>
      </c>
      <c r="B650" s="14">
        <v>793</v>
      </c>
      <c r="C650" s="79" t="s">
        <v>17</v>
      </c>
      <c r="D650" s="79" t="s">
        <v>19</v>
      </c>
      <c r="E650" s="15" t="s">
        <v>553</v>
      </c>
      <c r="F650" s="15" t="s">
        <v>215</v>
      </c>
      <c r="G650" s="70">
        <f>G651</f>
        <v>98199000</v>
      </c>
      <c r="H650" s="70">
        <f t="shared" si="272"/>
        <v>98199000</v>
      </c>
      <c r="I650" s="70">
        <f t="shared" si="272"/>
        <v>0</v>
      </c>
      <c r="J650" s="136"/>
      <c r="K650" s="69"/>
      <c r="L650" s="69"/>
      <c r="M650" s="69"/>
      <c r="N650" s="69"/>
      <c r="O650" s="69"/>
      <c r="P650" s="69"/>
      <c r="Q650" s="69"/>
      <c r="R650" s="69"/>
    </row>
    <row r="651" spans="1:18" ht="21" customHeight="1" x14ac:dyDescent="0.25">
      <c r="A651" s="295" t="s">
        <v>216</v>
      </c>
      <c r="B651" s="14">
        <v>793</v>
      </c>
      <c r="C651" s="79" t="s">
        <v>17</v>
      </c>
      <c r="D651" s="79" t="s">
        <v>19</v>
      </c>
      <c r="E651" s="15" t="s">
        <v>553</v>
      </c>
      <c r="F651" s="15" t="s">
        <v>217</v>
      </c>
      <c r="G651" s="70">
        <v>98199000</v>
      </c>
      <c r="H651" s="70">
        <v>98199000</v>
      </c>
      <c r="I651" s="70">
        <v>0</v>
      </c>
      <c r="J651" s="136"/>
      <c r="K651" s="69"/>
      <c r="L651" s="69"/>
      <c r="M651" s="69"/>
      <c r="N651" s="69"/>
      <c r="O651" s="69"/>
      <c r="P651" s="69"/>
      <c r="Q651" s="69"/>
      <c r="R651" s="69"/>
    </row>
    <row r="652" spans="1:18" ht="92.25" customHeight="1" x14ac:dyDescent="0.25">
      <c r="A652" s="296" t="s">
        <v>554</v>
      </c>
      <c r="B652" s="14">
        <v>793</v>
      </c>
      <c r="C652" s="79" t="s">
        <v>17</v>
      </c>
      <c r="D652" s="79" t="s">
        <v>19</v>
      </c>
      <c r="E652" s="15" t="s">
        <v>555</v>
      </c>
      <c r="F652" s="15"/>
      <c r="G652" s="70">
        <f t="shared" ref="G652:I653" si="273">G653</f>
        <v>39197000</v>
      </c>
      <c r="H652" s="70">
        <f t="shared" si="273"/>
        <v>39197000</v>
      </c>
      <c r="I652" s="70">
        <f t="shared" si="273"/>
        <v>0</v>
      </c>
      <c r="J652" s="136"/>
      <c r="K652" s="69"/>
      <c r="L652" s="69"/>
      <c r="M652" s="69"/>
      <c r="N652" s="69"/>
      <c r="O652" s="69"/>
      <c r="P652" s="69"/>
      <c r="Q652" s="69"/>
      <c r="R652" s="69"/>
    </row>
    <row r="653" spans="1:18" ht="30" customHeight="1" x14ac:dyDescent="0.25">
      <c r="A653" s="295" t="s">
        <v>69</v>
      </c>
      <c r="B653" s="14">
        <v>793</v>
      </c>
      <c r="C653" s="79" t="s">
        <v>17</v>
      </c>
      <c r="D653" s="79" t="s">
        <v>19</v>
      </c>
      <c r="E653" s="15" t="s">
        <v>555</v>
      </c>
      <c r="F653" s="15" t="s">
        <v>215</v>
      </c>
      <c r="G653" s="70">
        <f t="shared" si="273"/>
        <v>39197000</v>
      </c>
      <c r="H653" s="70">
        <f t="shared" si="273"/>
        <v>39197000</v>
      </c>
      <c r="I653" s="70">
        <f t="shared" si="273"/>
        <v>0</v>
      </c>
      <c r="J653" s="136"/>
      <c r="K653" s="69"/>
      <c r="L653" s="69"/>
      <c r="M653" s="69"/>
      <c r="N653" s="69"/>
      <c r="O653" s="69"/>
      <c r="P653" s="69"/>
      <c r="Q653" s="69"/>
      <c r="R653" s="69"/>
    </row>
    <row r="654" spans="1:18" ht="21.75" customHeight="1" x14ac:dyDescent="0.25">
      <c r="A654" s="78" t="s">
        <v>216</v>
      </c>
      <c r="B654" s="14">
        <v>793</v>
      </c>
      <c r="C654" s="79" t="s">
        <v>17</v>
      </c>
      <c r="D654" s="79" t="s">
        <v>19</v>
      </c>
      <c r="E654" s="15" t="s">
        <v>555</v>
      </c>
      <c r="F654" s="15" t="s">
        <v>217</v>
      </c>
      <c r="G654" s="70">
        <v>39197000</v>
      </c>
      <c r="H654" s="70">
        <v>39197000</v>
      </c>
      <c r="I654" s="70">
        <v>0</v>
      </c>
      <c r="J654" s="136"/>
      <c r="K654" s="69"/>
      <c r="L654" s="69"/>
      <c r="M654" s="69"/>
      <c r="N654" s="69"/>
      <c r="O654" s="69"/>
      <c r="P654" s="69"/>
      <c r="Q654" s="69"/>
      <c r="R654" s="69"/>
    </row>
    <row r="655" spans="1:18" x14ac:dyDescent="0.25">
      <c r="A655" s="189" t="s">
        <v>84</v>
      </c>
      <c r="B655" s="192">
        <v>793</v>
      </c>
      <c r="C655" s="191" t="s">
        <v>48</v>
      </c>
      <c r="D655" s="191"/>
      <c r="E655" s="79"/>
      <c r="F655" s="191"/>
      <c r="G655" s="188">
        <f>G656+G661+G676</f>
        <v>41444300.560000002</v>
      </c>
      <c r="H655" s="188">
        <f>H656+H661+H676</f>
        <v>41676748.210000001</v>
      </c>
      <c r="I655" s="188">
        <f>I656+I661+I676</f>
        <v>41988014.189999998</v>
      </c>
      <c r="J655" s="208"/>
      <c r="K655" s="69"/>
      <c r="L655" s="69"/>
      <c r="M655" s="69"/>
      <c r="N655" s="69"/>
      <c r="O655" s="69"/>
      <c r="P655" s="69"/>
      <c r="Q655" s="69"/>
      <c r="R655" s="69"/>
    </row>
    <row r="656" spans="1:18" x14ac:dyDescent="0.25">
      <c r="A656" s="78" t="s">
        <v>85</v>
      </c>
      <c r="B656" s="120">
        <v>793</v>
      </c>
      <c r="C656" s="79" t="s">
        <v>48</v>
      </c>
      <c r="D656" s="79" t="s">
        <v>10</v>
      </c>
      <c r="E656" s="79"/>
      <c r="F656" s="79"/>
      <c r="G656" s="81">
        <f t="shared" ref="G656:I659" si="274">G657</f>
        <v>1046619</v>
      </c>
      <c r="H656" s="81">
        <f t="shared" si="274"/>
        <v>1088497</v>
      </c>
      <c r="I656" s="81">
        <f t="shared" si="274"/>
        <v>1132047</v>
      </c>
      <c r="J656" s="136"/>
      <c r="K656" s="69"/>
      <c r="L656" s="69"/>
      <c r="M656" s="69"/>
      <c r="N656" s="69"/>
      <c r="O656" s="69"/>
      <c r="P656" s="69"/>
      <c r="Q656" s="69"/>
      <c r="R656" s="69"/>
    </row>
    <row r="657" spans="1:20" s="28" customFormat="1" ht="36" customHeight="1" x14ac:dyDescent="0.25">
      <c r="A657" s="78" t="s">
        <v>374</v>
      </c>
      <c r="B657" s="120">
        <v>793</v>
      </c>
      <c r="C657" s="79" t="s">
        <v>48</v>
      </c>
      <c r="D657" s="79" t="s">
        <v>10</v>
      </c>
      <c r="E657" s="79" t="s">
        <v>181</v>
      </c>
      <c r="F657" s="133"/>
      <c r="G657" s="81">
        <f t="shared" si="274"/>
        <v>1046619</v>
      </c>
      <c r="H657" s="81">
        <f t="shared" si="274"/>
        <v>1088497</v>
      </c>
      <c r="I657" s="81">
        <f t="shared" si="274"/>
        <v>1132047</v>
      </c>
      <c r="J657" s="136"/>
      <c r="K657" s="202"/>
      <c r="L657" s="202"/>
      <c r="M657" s="202"/>
      <c r="N657" s="202"/>
      <c r="O657" s="202"/>
      <c r="P657" s="202"/>
      <c r="Q657" s="202"/>
      <c r="R657" s="202"/>
    </row>
    <row r="658" spans="1:20" s="28" customFormat="1" ht="52.8" x14ac:dyDescent="0.25">
      <c r="A658" s="78" t="s">
        <v>420</v>
      </c>
      <c r="B658" s="120">
        <v>793</v>
      </c>
      <c r="C658" s="79" t="s">
        <v>48</v>
      </c>
      <c r="D658" s="79" t="s">
        <v>10</v>
      </c>
      <c r="E658" s="79" t="s">
        <v>182</v>
      </c>
      <c r="F658" s="133"/>
      <c r="G658" s="81">
        <f t="shared" si="274"/>
        <v>1046619</v>
      </c>
      <c r="H658" s="81">
        <f t="shared" si="274"/>
        <v>1088497</v>
      </c>
      <c r="I658" s="81">
        <f t="shared" si="274"/>
        <v>1132047</v>
      </c>
      <c r="J658" s="136"/>
      <c r="K658" s="202"/>
      <c r="L658" s="202"/>
      <c r="M658" s="202"/>
      <c r="N658" s="202"/>
      <c r="O658" s="202"/>
      <c r="P658" s="202"/>
      <c r="Q658" s="202"/>
      <c r="R658" s="202"/>
    </row>
    <row r="659" spans="1:20" s="28" customFormat="1" x14ac:dyDescent="0.25">
      <c r="A659" s="78" t="s">
        <v>86</v>
      </c>
      <c r="B659" s="120">
        <v>793</v>
      </c>
      <c r="C659" s="79" t="s">
        <v>48</v>
      </c>
      <c r="D659" s="79" t="s">
        <v>10</v>
      </c>
      <c r="E659" s="79" t="s">
        <v>182</v>
      </c>
      <c r="F659" s="79" t="s">
        <v>87</v>
      </c>
      <c r="G659" s="81">
        <f t="shared" si="274"/>
        <v>1046619</v>
      </c>
      <c r="H659" s="81">
        <f>H660</f>
        <v>1088497</v>
      </c>
      <c r="I659" s="81">
        <f t="shared" si="274"/>
        <v>1132047</v>
      </c>
      <c r="J659" s="136"/>
      <c r="K659" s="202"/>
      <c r="L659" s="202"/>
      <c r="M659" s="202"/>
      <c r="N659" s="202"/>
      <c r="O659" s="202"/>
      <c r="P659" s="202"/>
      <c r="Q659" s="202"/>
      <c r="R659" s="202"/>
    </row>
    <row r="660" spans="1:20" s="28" customFormat="1" ht="26.4" x14ac:dyDescent="0.25">
      <c r="A660" s="78" t="s">
        <v>221</v>
      </c>
      <c r="B660" s="120">
        <v>793</v>
      </c>
      <c r="C660" s="79" t="s">
        <v>48</v>
      </c>
      <c r="D660" s="79" t="s">
        <v>10</v>
      </c>
      <c r="E660" s="79" t="s">
        <v>182</v>
      </c>
      <c r="F660" s="79" t="s">
        <v>222</v>
      </c>
      <c r="G660" s="81">
        <v>1046619</v>
      </c>
      <c r="H660" s="81">
        <v>1088497</v>
      </c>
      <c r="I660" s="81">
        <v>1132047</v>
      </c>
      <c r="J660" s="136" t="e">
        <f>G660+G665+#REF!+#REF!+G672+G675+#REF!+G690</f>
        <v>#REF!</v>
      </c>
      <c r="K660" s="202"/>
      <c r="L660" s="202"/>
      <c r="M660" s="202"/>
      <c r="N660" s="202"/>
      <c r="O660" s="202"/>
      <c r="P660" s="202"/>
      <c r="Q660" s="202"/>
      <c r="R660" s="202"/>
    </row>
    <row r="661" spans="1:20" ht="13.5" customHeight="1" x14ac:dyDescent="0.25">
      <c r="A661" s="78" t="s">
        <v>47</v>
      </c>
      <c r="B661" s="120">
        <v>793</v>
      </c>
      <c r="C661" s="79" t="s">
        <v>48</v>
      </c>
      <c r="D661" s="79" t="s">
        <v>49</v>
      </c>
      <c r="E661" s="79"/>
      <c r="F661" s="79"/>
      <c r="G661" s="81">
        <f>G662+G666</f>
        <v>2316720</v>
      </c>
      <c r="H661" s="81">
        <f t="shared" ref="H661:I661" si="275">H662+H666</f>
        <v>2390440</v>
      </c>
      <c r="I661" s="81">
        <f t="shared" si="275"/>
        <v>2485900</v>
      </c>
      <c r="J661" s="136"/>
      <c r="K661" s="69"/>
      <c r="L661" s="69"/>
      <c r="M661" s="69"/>
      <c r="N661" s="69"/>
      <c r="O661" s="69"/>
      <c r="P661" s="69"/>
      <c r="Q661" s="69"/>
      <c r="R661" s="69"/>
    </row>
    <row r="662" spans="1:20" ht="41.25" customHeight="1" x14ac:dyDescent="0.25">
      <c r="A662" s="78" t="s">
        <v>359</v>
      </c>
      <c r="B662" s="120">
        <v>793</v>
      </c>
      <c r="C662" s="79" t="s">
        <v>48</v>
      </c>
      <c r="D662" s="79" t="s">
        <v>49</v>
      </c>
      <c r="E662" s="79" t="s">
        <v>168</v>
      </c>
      <c r="F662" s="79"/>
      <c r="G662" s="81">
        <f>G663</f>
        <v>400000</v>
      </c>
      <c r="H662" s="81">
        <f t="shared" ref="H662:I662" si="276">H663</f>
        <v>400000</v>
      </c>
      <c r="I662" s="81">
        <f t="shared" si="276"/>
        <v>400000</v>
      </c>
      <c r="J662" s="136"/>
      <c r="K662" s="69"/>
      <c r="L662" s="69"/>
      <c r="M662" s="69"/>
      <c r="N662" s="69"/>
      <c r="O662" s="69"/>
      <c r="P662" s="69"/>
      <c r="Q662" s="69"/>
      <c r="R662" s="69"/>
    </row>
    <row r="663" spans="1:20" ht="47.25" customHeight="1" x14ac:dyDescent="0.25">
      <c r="A663" s="109" t="s">
        <v>421</v>
      </c>
      <c r="B663" s="120">
        <v>793</v>
      </c>
      <c r="C663" s="79" t="s">
        <v>48</v>
      </c>
      <c r="D663" s="79" t="s">
        <v>49</v>
      </c>
      <c r="E663" s="79" t="s">
        <v>326</v>
      </c>
      <c r="F663" s="79"/>
      <c r="G663" s="81">
        <f>G664</f>
        <v>400000</v>
      </c>
      <c r="H663" s="81">
        <f t="shared" ref="H663:I663" si="277">H664</f>
        <v>400000</v>
      </c>
      <c r="I663" s="81">
        <f t="shared" si="277"/>
        <v>400000</v>
      </c>
      <c r="J663" s="136"/>
      <c r="K663" s="69"/>
      <c r="L663" s="69"/>
      <c r="M663" s="69"/>
      <c r="N663" s="69"/>
      <c r="O663" s="69"/>
      <c r="P663" s="69"/>
      <c r="Q663" s="69"/>
      <c r="R663" s="69"/>
    </row>
    <row r="664" spans="1:20" ht="21" customHeight="1" x14ac:dyDescent="0.25">
      <c r="A664" s="78" t="s">
        <v>86</v>
      </c>
      <c r="B664" s="120">
        <v>793</v>
      </c>
      <c r="C664" s="79" t="s">
        <v>48</v>
      </c>
      <c r="D664" s="79" t="s">
        <v>49</v>
      </c>
      <c r="E664" s="79" t="s">
        <v>326</v>
      </c>
      <c r="F664" s="79" t="s">
        <v>87</v>
      </c>
      <c r="G664" s="81">
        <f>G665</f>
        <v>400000</v>
      </c>
      <c r="H664" s="81">
        <f t="shared" ref="H664:I664" si="278">H665</f>
        <v>400000</v>
      </c>
      <c r="I664" s="81">
        <f t="shared" si="278"/>
        <v>400000</v>
      </c>
      <c r="J664" s="136"/>
      <c r="K664" s="69"/>
      <c r="L664" s="69"/>
      <c r="M664" s="69"/>
      <c r="N664" s="69"/>
      <c r="O664" s="69"/>
      <c r="P664" s="69"/>
      <c r="Q664" s="69"/>
      <c r="R664" s="69"/>
    </row>
    <row r="665" spans="1:20" ht="30.75" customHeight="1" x14ac:dyDescent="0.25">
      <c r="A665" s="78" t="s">
        <v>88</v>
      </c>
      <c r="B665" s="120">
        <v>793</v>
      </c>
      <c r="C665" s="79" t="s">
        <v>48</v>
      </c>
      <c r="D665" s="79" t="s">
        <v>49</v>
      </c>
      <c r="E665" s="79" t="s">
        <v>326</v>
      </c>
      <c r="F665" s="79" t="s">
        <v>89</v>
      </c>
      <c r="G665" s="81">
        <v>400000</v>
      </c>
      <c r="H665" s="81">
        <v>400000</v>
      </c>
      <c r="I665" s="81">
        <v>400000</v>
      </c>
      <c r="J665" s="136"/>
      <c r="K665" s="69"/>
      <c r="L665" s="69"/>
      <c r="M665" s="69"/>
      <c r="N665" s="69"/>
      <c r="O665" s="69"/>
      <c r="P665" s="69"/>
      <c r="Q665" s="69"/>
      <c r="R665" s="69"/>
    </row>
    <row r="666" spans="1:20" s="28" customFormat="1" ht="27.75" customHeight="1" x14ac:dyDescent="0.25">
      <c r="A666" s="78" t="s">
        <v>374</v>
      </c>
      <c r="B666" s="120">
        <v>793</v>
      </c>
      <c r="C666" s="79" t="s">
        <v>48</v>
      </c>
      <c r="D666" s="79" t="s">
        <v>49</v>
      </c>
      <c r="E666" s="79" t="s">
        <v>181</v>
      </c>
      <c r="F666" s="133"/>
      <c r="G666" s="81">
        <f>G670+G673+G667</f>
        <v>1916720</v>
      </c>
      <c r="H666" s="81">
        <f t="shared" ref="H666:I666" si="279">H670+H673+H667</f>
        <v>1990440</v>
      </c>
      <c r="I666" s="81">
        <f t="shared" si="279"/>
        <v>2085900</v>
      </c>
      <c r="J666" s="136"/>
      <c r="K666" s="202"/>
      <c r="L666" s="202"/>
      <c r="M666" s="202"/>
      <c r="N666" s="211"/>
      <c r="O666" s="202"/>
      <c r="P666" s="202"/>
      <c r="Q666" s="202"/>
      <c r="R666" s="202"/>
    </row>
    <row r="667" spans="1:20" s="292" customFormat="1" ht="48.75" customHeight="1" x14ac:dyDescent="0.25">
      <c r="A667" s="78" t="s">
        <v>549</v>
      </c>
      <c r="B667" s="79" t="s">
        <v>301</v>
      </c>
      <c r="C667" s="79" t="s">
        <v>48</v>
      </c>
      <c r="D667" s="79" t="s">
        <v>49</v>
      </c>
      <c r="E667" s="79" t="s">
        <v>526</v>
      </c>
      <c r="F667" s="133"/>
      <c r="G667" s="81">
        <f t="shared" ref="G667:I668" si="280">G668</f>
        <v>137940</v>
      </c>
      <c r="H667" s="81">
        <f t="shared" si="280"/>
        <v>0</v>
      </c>
      <c r="I667" s="81">
        <f t="shared" si="280"/>
        <v>0</v>
      </c>
      <c r="J667" s="291" t="s">
        <v>259</v>
      </c>
      <c r="P667" s="291"/>
      <c r="Q667" s="291"/>
      <c r="R667" s="291"/>
      <c r="S667" s="291"/>
      <c r="T667" s="291" t="e">
        <f>#REF!-#REF!</f>
        <v>#REF!</v>
      </c>
    </row>
    <row r="668" spans="1:20" s="292" customFormat="1" x14ac:dyDescent="0.25">
      <c r="A668" s="78" t="s">
        <v>224</v>
      </c>
      <c r="B668" s="79" t="s">
        <v>301</v>
      </c>
      <c r="C668" s="79" t="s">
        <v>48</v>
      </c>
      <c r="D668" s="79" t="s">
        <v>49</v>
      </c>
      <c r="E668" s="79" t="s">
        <v>526</v>
      </c>
      <c r="F668" s="79" t="s">
        <v>87</v>
      </c>
      <c r="G668" s="81">
        <f t="shared" si="280"/>
        <v>137940</v>
      </c>
      <c r="H668" s="81">
        <f t="shared" si="280"/>
        <v>0</v>
      </c>
      <c r="I668" s="81">
        <f t="shared" si="280"/>
        <v>0</v>
      </c>
      <c r="J668" s="291" t="s">
        <v>260</v>
      </c>
      <c r="P668" s="291"/>
      <c r="Q668" s="291"/>
      <c r="R668" s="291"/>
      <c r="S668" s="291"/>
      <c r="T668" s="291"/>
    </row>
    <row r="669" spans="1:20" s="292" customFormat="1" ht="26.4" x14ac:dyDescent="0.25">
      <c r="A669" s="78" t="s">
        <v>88</v>
      </c>
      <c r="B669" s="79" t="s">
        <v>301</v>
      </c>
      <c r="C669" s="79" t="s">
        <v>48</v>
      </c>
      <c r="D669" s="79" t="s">
        <v>49</v>
      </c>
      <c r="E669" s="79" t="s">
        <v>526</v>
      </c>
      <c r="F669" s="79" t="s">
        <v>89</v>
      </c>
      <c r="G669" s="81">
        <v>137940</v>
      </c>
      <c r="H669" s="81"/>
      <c r="I669" s="81"/>
      <c r="J669" s="291" t="s">
        <v>261</v>
      </c>
      <c r="P669" s="291"/>
      <c r="Q669" s="291"/>
      <c r="R669" s="291"/>
      <c r="S669" s="291"/>
      <c r="T669" s="291"/>
    </row>
    <row r="670" spans="1:20" ht="25.5" customHeight="1" x14ac:dyDescent="0.25">
      <c r="A670" s="78" t="s">
        <v>280</v>
      </c>
      <c r="B670" s="120">
        <v>793</v>
      </c>
      <c r="C670" s="79" t="s">
        <v>48</v>
      </c>
      <c r="D670" s="79" t="s">
        <v>49</v>
      </c>
      <c r="E670" s="79" t="s">
        <v>288</v>
      </c>
      <c r="F670" s="79"/>
      <c r="G670" s="81">
        <f t="shared" ref="G670:I671" si="281">G671</f>
        <v>473780</v>
      </c>
      <c r="H670" s="81">
        <f t="shared" si="281"/>
        <v>550440</v>
      </c>
      <c r="I670" s="81">
        <f t="shared" si="281"/>
        <v>645900</v>
      </c>
      <c r="J670" s="136"/>
      <c r="K670" s="69"/>
      <c r="L670" s="69"/>
      <c r="M670" s="69"/>
      <c r="N670" s="69"/>
      <c r="O670" s="69"/>
      <c r="P670" s="69"/>
      <c r="Q670" s="69"/>
      <c r="R670" s="69"/>
    </row>
    <row r="671" spans="1:20" ht="15.75" customHeight="1" x14ac:dyDescent="0.25">
      <c r="A671" s="78" t="s">
        <v>224</v>
      </c>
      <c r="B671" s="120">
        <v>793</v>
      </c>
      <c r="C671" s="79" t="s">
        <v>48</v>
      </c>
      <c r="D671" s="79" t="s">
        <v>49</v>
      </c>
      <c r="E671" s="79" t="s">
        <v>288</v>
      </c>
      <c r="F671" s="79" t="s">
        <v>87</v>
      </c>
      <c r="G671" s="81">
        <f>G672</f>
        <v>473780</v>
      </c>
      <c r="H671" s="81">
        <f t="shared" si="281"/>
        <v>550440</v>
      </c>
      <c r="I671" s="81">
        <f t="shared" si="281"/>
        <v>645900</v>
      </c>
      <c r="J671" s="136"/>
      <c r="K671" s="69"/>
      <c r="L671" s="69"/>
      <c r="M671" s="69"/>
      <c r="N671" s="69"/>
      <c r="O671" s="69"/>
      <c r="P671" s="69"/>
      <c r="Q671" s="69"/>
      <c r="R671" s="69"/>
    </row>
    <row r="672" spans="1:20" ht="36" customHeight="1" x14ac:dyDescent="0.25">
      <c r="A672" s="78" t="s">
        <v>285</v>
      </c>
      <c r="B672" s="120">
        <v>793</v>
      </c>
      <c r="C672" s="79" t="s">
        <v>48</v>
      </c>
      <c r="D672" s="79" t="s">
        <v>49</v>
      </c>
      <c r="E672" s="79" t="s">
        <v>288</v>
      </c>
      <c r="F672" s="79" t="s">
        <v>284</v>
      </c>
      <c r="G672" s="81">
        <v>473780</v>
      </c>
      <c r="H672" s="81">
        <v>550440</v>
      </c>
      <c r="I672" s="81">
        <v>645900</v>
      </c>
      <c r="J672" s="136"/>
      <c r="K672" s="69"/>
      <c r="L672" s="69"/>
      <c r="M672" s="69"/>
      <c r="N672" s="69"/>
      <c r="O672" s="69"/>
      <c r="P672" s="69"/>
      <c r="Q672" s="69"/>
      <c r="R672" s="69"/>
    </row>
    <row r="673" spans="1:18" s="18" customFormat="1" ht="26.4" x14ac:dyDescent="0.25">
      <c r="A673" s="78" t="s">
        <v>414</v>
      </c>
      <c r="B673" s="120">
        <v>793</v>
      </c>
      <c r="C673" s="79" t="s">
        <v>48</v>
      </c>
      <c r="D673" s="79" t="s">
        <v>49</v>
      </c>
      <c r="E673" s="79" t="s">
        <v>340</v>
      </c>
      <c r="F673" s="79"/>
      <c r="G673" s="81">
        <f t="shared" ref="G673:I674" si="282">G674</f>
        <v>1305000</v>
      </c>
      <c r="H673" s="81">
        <f t="shared" si="282"/>
        <v>1440000</v>
      </c>
      <c r="I673" s="81">
        <f t="shared" si="282"/>
        <v>1440000</v>
      </c>
      <c r="J673" s="136"/>
      <c r="K673" s="141"/>
      <c r="L673" s="141"/>
      <c r="M673" s="141"/>
      <c r="N673" s="141"/>
      <c r="O673" s="141"/>
      <c r="P673" s="141"/>
      <c r="Q673" s="141"/>
      <c r="R673" s="141"/>
    </row>
    <row r="674" spans="1:18" s="18" customFormat="1" ht="24.75" customHeight="1" x14ac:dyDescent="0.25">
      <c r="A674" s="274" t="s">
        <v>220</v>
      </c>
      <c r="B674" s="120">
        <v>793</v>
      </c>
      <c r="C674" s="79" t="s">
        <v>48</v>
      </c>
      <c r="D674" s="79" t="s">
        <v>49</v>
      </c>
      <c r="E674" s="79" t="s">
        <v>340</v>
      </c>
      <c r="F674" s="79" t="s">
        <v>87</v>
      </c>
      <c r="G674" s="81">
        <f>G675</f>
        <v>1305000</v>
      </c>
      <c r="H674" s="81">
        <f t="shared" si="282"/>
        <v>1440000</v>
      </c>
      <c r="I674" s="81">
        <f t="shared" si="282"/>
        <v>1440000</v>
      </c>
      <c r="J674" s="136"/>
      <c r="K674" s="141"/>
      <c r="L674" s="141"/>
      <c r="M674" s="141"/>
      <c r="N674" s="141"/>
      <c r="O674" s="141"/>
      <c r="P674" s="141"/>
      <c r="Q674" s="141"/>
      <c r="R674" s="141"/>
    </row>
    <row r="675" spans="1:18" s="18" customFormat="1" ht="29.25" customHeight="1" x14ac:dyDescent="0.25">
      <c r="A675" s="78" t="s">
        <v>88</v>
      </c>
      <c r="B675" s="120">
        <v>793</v>
      </c>
      <c r="C675" s="79" t="s">
        <v>48</v>
      </c>
      <c r="D675" s="79" t="s">
        <v>49</v>
      </c>
      <c r="E675" s="79" t="s">
        <v>340</v>
      </c>
      <c r="F675" s="79" t="s">
        <v>89</v>
      </c>
      <c r="G675" s="81">
        <v>1305000</v>
      </c>
      <c r="H675" s="81">
        <v>1440000</v>
      </c>
      <c r="I675" s="81">
        <v>1440000</v>
      </c>
      <c r="J675" s="136"/>
      <c r="K675" s="141"/>
      <c r="L675" s="141"/>
      <c r="M675" s="141"/>
      <c r="N675" s="141"/>
      <c r="O675" s="141"/>
      <c r="P675" s="141"/>
      <c r="Q675" s="141"/>
      <c r="R675" s="141"/>
    </row>
    <row r="676" spans="1:18" x14ac:dyDescent="0.25">
      <c r="A676" s="111" t="s">
        <v>90</v>
      </c>
      <c r="B676" s="120">
        <v>793</v>
      </c>
      <c r="C676" s="79" t="s">
        <v>48</v>
      </c>
      <c r="D676" s="79" t="s">
        <v>38</v>
      </c>
      <c r="E676" s="79"/>
      <c r="F676" s="79"/>
      <c r="G676" s="81">
        <f>G677</f>
        <v>38080961.560000002</v>
      </c>
      <c r="H676" s="81">
        <f t="shared" ref="H676:I676" si="283">H677</f>
        <v>38197811.210000001</v>
      </c>
      <c r="I676" s="81">
        <f t="shared" si="283"/>
        <v>38370067.189999998</v>
      </c>
      <c r="J676" s="136"/>
      <c r="K676" s="69"/>
      <c r="L676" s="69"/>
      <c r="M676" s="69"/>
      <c r="N676" s="180"/>
      <c r="O676" s="69"/>
      <c r="P676" s="69"/>
      <c r="Q676" s="69"/>
      <c r="R676" s="69"/>
    </row>
    <row r="677" spans="1:18" s="46" customFormat="1" ht="30.75" customHeight="1" x14ac:dyDescent="0.25">
      <c r="A677" s="78" t="s">
        <v>374</v>
      </c>
      <c r="B677" s="120">
        <v>793</v>
      </c>
      <c r="C677" s="79" t="s">
        <v>48</v>
      </c>
      <c r="D677" s="79" t="s">
        <v>38</v>
      </c>
      <c r="E677" s="79" t="s">
        <v>181</v>
      </c>
      <c r="F677" s="79"/>
      <c r="G677" s="81">
        <f>G678+G688</f>
        <v>38080961.560000002</v>
      </c>
      <c r="H677" s="81">
        <f t="shared" ref="H677:I677" si="284">H678+H688</f>
        <v>38197811.210000001</v>
      </c>
      <c r="I677" s="81">
        <f t="shared" si="284"/>
        <v>38370067.189999998</v>
      </c>
      <c r="J677" s="136"/>
      <c r="K677" s="58"/>
      <c r="L677" s="58"/>
      <c r="M677" s="58"/>
      <c r="N677" s="132"/>
      <c r="O677" s="58"/>
      <c r="P677" s="58"/>
      <c r="Q677" s="58"/>
      <c r="R677" s="58"/>
    </row>
    <row r="678" spans="1:18" s="46" customFormat="1" ht="70.5" hidden="1" customHeight="1" x14ac:dyDescent="0.25">
      <c r="A678" s="275" t="s">
        <v>502</v>
      </c>
      <c r="B678" s="120">
        <v>793</v>
      </c>
      <c r="C678" s="79" t="s">
        <v>48</v>
      </c>
      <c r="D678" s="79" t="s">
        <v>38</v>
      </c>
      <c r="E678" s="79" t="s">
        <v>181</v>
      </c>
      <c r="F678" s="79"/>
      <c r="G678" s="81">
        <f>G679+G682+G685</f>
        <v>37920961.560000002</v>
      </c>
      <c r="H678" s="81">
        <f t="shared" ref="H678:I678" si="285">H679+H682+H685</f>
        <v>38037811.210000001</v>
      </c>
      <c r="I678" s="81">
        <f t="shared" si="285"/>
        <v>38210067.189999998</v>
      </c>
      <c r="J678" s="136"/>
      <c r="K678" s="58"/>
      <c r="L678" s="58"/>
      <c r="M678" s="58"/>
      <c r="N678" s="132"/>
      <c r="O678" s="58"/>
      <c r="P678" s="58"/>
      <c r="Q678" s="58"/>
      <c r="R678" s="58"/>
    </row>
    <row r="679" spans="1:18" ht="131.25" customHeight="1" x14ac:dyDescent="0.25">
      <c r="A679" s="276" t="s">
        <v>512</v>
      </c>
      <c r="B679" s="120">
        <v>793</v>
      </c>
      <c r="C679" s="79" t="s">
        <v>48</v>
      </c>
      <c r="D679" s="79" t="s">
        <v>38</v>
      </c>
      <c r="E679" s="79" t="s">
        <v>516</v>
      </c>
      <c r="F679" s="79"/>
      <c r="G679" s="81">
        <f>G680</f>
        <v>3624555</v>
      </c>
      <c r="H679" s="81">
        <f t="shared" ref="H679:I679" si="286">H680</f>
        <v>3624555</v>
      </c>
      <c r="I679" s="81">
        <f t="shared" si="286"/>
        <v>3624555</v>
      </c>
      <c r="J679" s="136"/>
      <c r="K679" s="69"/>
      <c r="L679" s="69"/>
      <c r="M679" s="69"/>
      <c r="N679" s="69"/>
      <c r="O679" s="69"/>
      <c r="P679" s="69"/>
      <c r="Q679" s="69"/>
      <c r="R679" s="69"/>
    </row>
    <row r="680" spans="1:18" ht="39.6" x14ac:dyDescent="0.25">
      <c r="A680" s="78" t="s">
        <v>214</v>
      </c>
      <c r="B680" s="120">
        <v>793</v>
      </c>
      <c r="C680" s="79" t="s">
        <v>48</v>
      </c>
      <c r="D680" s="79" t="s">
        <v>38</v>
      </c>
      <c r="E680" s="79" t="s">
        <v>516</v>
      </c>
      <c r="F680" s="79" t="s">
        <v>215</v>
      </c>
      <c r="G680" s="81">
        <f>G681</f>
        <v>3624555</v>
      </c>
      <c r="H680" s="81">
        <f>H681</f>
        <v>3624555</v>
      </c>
      <c r="I680" s="81">
        <f>I681</f>
        <v>3624555</v>
      </c>
      <c r="J680" s="136"/>
      <c r="K680" s="69"/>
      <c r="L680" s="69"/>
      <c r="M680" s="69"/>
      <c r="N680" s="69"/>
      <c r="O680" s="69"/>
      <c r="P680" s="69"/>
      <c r="Q680" s="69"/>
      <c r="R680" s="69"/>
    </row>
    <row r="681" spans="1:18" x14ac:dyDescent="0.25">
      <c r="A681" s="78" t="s">
        <v>216</v>
      </c>
      <c r="B681" s="120">
        <v>793</v>
      </c>
      <c r="C681" s="79" t="s">
        <v>48</v>
      </c>
      <c r="D681" s="79" t="s">
        <v>38</v>
      </c>
      <c r="E681" s="79" t="s">
        <v>516</v>
      </c>
      <c r="F681" s="79" t="s">
        <v>217</v>
      </c>
      <c r="G681" s="81">
        <v>3624555</v>
      </c>
      <c r="H681" s="81">
        <v>3624555</v>
      </c>
      <c r="I681" s="81">
        <v>3624555</v>
      </c>
      <c r="J681" s="136"/>
      <c r="K681" s="69"/>
      <c r="L681" s="69"/>
      <c r="M681" s="69"/>
      <c r="N681" s="69"/>
      <c r="O681" s="69"/>
      <c r="P681" s="69"/>
      <c r="Q681" s="69"/>
      <c r="R681" s="69"/>
    </row>
    <row r="682" spans="1:18" ht="102.75" customHeight="1" x14ac:dyDescent="0.25">
      <c r="A682" s="277" t="s">
        <v>511</v>
      </c>
      <c r="B682" s="120">
        <v>793</v>
      </c>
      <c r="C682" s="79" t="s">
        <v>48</v>
      </c>
      <c r="D682" s="79" t="s">
        <v>38</v>
      </c>
      <c r="E682" s="79" t="s">
        <v>517</v>
      </c>
      <c r="F682" s="79"/>
      <c r="G682" s="81">
        <f t="shared" ref="G682:I686" si="287">G683</f>
        <v>27092376.989999998</v>
      </c>
      <c r="H682" s="81">
        <f t="shared" si="287"/>
        <v>27092376.989999998</v>
      </c>
      <c r="I682" s="81">
        <f t="shared" si="287"/>
        <v>27092376.989999998</v>
      </c>
      <c r="J682" s="136"/>
      <c r="K682" s="69"/>
      <c r="L682" s="69"/>
      <c r="M682" s="69"/>
      <c r="N682" s="69"/>
      <c r="O682" s="69"/>
      <c r="P682" s="69"/>
      <c r="Q682" s="69"/>
      <c r="R682" s="69"/>
    </row>
    <row r="683" spans="1:18" ht="39.6" x14ac:dyDescent="0.25">
      <c r="A683" s="78" t="s">
        <v>214</v>
      </c>
      <c r="B683" s="120">
        <v>793</v>
      </c>
      <c r="C683" s="79" t="s">
        <v>48</v>
      </c>
      <c r="D683" s="79" t="s">
        <v>38</v>
      </c>
      <c r="E683" s="79" t="s">
        <v>517</v>
      </c>
      <c r="F683" s="79" t="s">
        <v>215</v>
      </c>
      <c r="G683" s="81">
        <f t="shared" si="287"/>
        <v>27092376.989999998</v>
      </c>
      <c r="H683" s="81">
        <f t="shared" si="287"/>
        <v>27092376.989999998</v>
      </c>
      <c r="I683" s="81">
        <f t="shared" si="287"/>
        <v>27092376.989999998</v>
      </c>
      <c r="J683" s="136"/>
      <c r="K683" s="69"/>
      <c r="L683" s="69"/>
      <c r="M683" s="69"/>
      <c r="N683" s="69"/>
      <c r="O683" s="69"/>
      <c r="P683" s="69"/>
      <c r="Q683" s="69"/>
      <c r="R683" s="69"/>
    </row>
    <row r="684" spans="1:18" x14ac:dyDescent="0.25">
      <c r="A684" s="78" t="s">
        <v>216</v>
      </c>
      <c r="B684" s="120">
        <v>793</v>
      </c>
      <c r="C684" s="79" t="s">
        <v>48</v>
      </c>
      <c r="D684" s="79" t="s">
        <v>38</v>
      </c>
      <c r="E684" s="79" t="s">
        <v>517</v>
      </c>
      <c r="F684" s="79" t="s">
        <v>217</v>
      </c>
      <c r="G684" s="81">
        <v>27092376.989999998</v>
      </c>
      <c r="H684" s="81">
        <v>27092376.989999998</v>
      </c>
      <c r="I684" s="81">
        <v>27092376.989999998</v>
      </c>
      <c r="J684" s="136"/>
      <c r="K684" s="69"/>
      <c r="L684" s="69"/>
      <c r="M684" s="69"/>
      <c r="N684" s="69"/>
      <c r="O684" s="69"/>
      <c r="P684" s="69"/>
      <c r="Q684" s="69"/>
      <c r="R684" s="69"/>
    </row>
    <row r="685" spans="1:18" ht="108" customHeight="1" x14ac:dyDescent="0.25">
      <c r="A685" s="277" t="s">
        <v>513</v>
      </c>
      <c r="B685" s="120">
        <v>793</v>
      </c>
      <c r="C685" s="79" t="s">
        <v>48</v>
      </c>
      <c r="D685" s="79" t="s">
        <v>38</v>
      </c>
      <c r="E685" s="79" t="s">
        <v>518</v>
      </c>
      <c r="F685" s="79"/>
      <c r="G685" s="81">
        <f t="shared" si="287"/>
        <v>7204029.5700000003</v>
      </c>
      <c r="H685" s="81">
        <f t="shared" si="287"/>
        <v>7320879.2199999997</v>
      </c>
      <c r="I685" s="81">
        <f t="shared" si="287"/>
        <v>7493135.2000000002</v>
      </c>
      <c r="J685" s="136"/>
      <c r="K685" s="69"/>
      <c r="L685" s="69"/>
      <c r="M685" s="69"/>
      <c r="N685" s="69"/>
      <c r="O685" s="69"/>
      <c r="P685" s="69"/>
      <c r="Q685" s="69"/>
      <c r="R685" s="69"/>
    </row>
    <row r="686" spans="1:18" ht="39.6" x14ac:dyDescent="0.25">
      <c r="A686" s="78" t="s">
        <v>214</v>
      </c>
      <c r="B686" s="120">
        <v>793</v>
      </c>
      <c r="C686" s="79" t="s">
        <v>48</v>
      </c>
      <c r="D686" s="79" t="s">
        <v>38</v>
      </c>
      <c r="E686" s="79" t="s">
        <v>518</v>
      </c>
      <c r="F686" s="79" t="s">
        <v>215</v>
      </c>
      <c r="G686" s="81">
        <f t="shared" si="287"/>
        <v>7204029.5700000003</v>
      </c>
      <c r="H686" s="81">
        <f t="shared" si="287"/>
        <v>7320879.2199999997</v>
      </c>
      <c r="I686" s="81">
        <f t="shared" si="287"/>
        <v>7493135.2000000002</v>
      </c>
      <c r="J686" s="136"/>
      <c r="K686" s="69"/>
      <c r="L686" s="69"/>
      <c r="M686" s="69"/>
      <c r="N686" s="69"/>
      <c r="O686" s="69"/>
      <c r="P686" s="69"/>
      <c r="Q686" s="69"/>
      <c r="R686" s="69"/>
    </row>
    <row r="687" spans="1:18" x14ac:dyDescent="0.25">
      <c r="A687" s="78" t="s">
        <v>216</v>
      </c>
      <c r="B687" s="120">
        <v>793</v>
      </c>
      <c r="C687" s="79" t="s">
        <v>48</v>
      </c>
      <c r="D687" s="79" t="s">
        <v>38</v>
      </c>
      <c r="E687" s="79" t="s">
        <v>518</v>
      </c>
      <c r="F687" s="79" t="s">
        <v>217</v>
      </c>
      <c r="G687" s="81">
        <v>7204029.5700000003</v>
      </c>
      <c r="H687" s="81">
        <v>7320879.2199999997</v>
      </c>
      <c r="I687" s="81">
        <v>7493135.2000000002</v>
      </c>
      <c r="J687" s="136"/>
      <c r="K687" s="69"/>
      <c r="L687" s="69"/>
      <c r="M687" s="69"/>
      <c r="N687" s="69"/>
      <c r="O687" s="69"/>
      <c r="P687" s="69"/>
      <c r="Q687" s="69"/>
      <c r="R687" s="69"/>
    </row>
    <row r="688" spans="1:18" s="18" customFormat="1" ht="26.4" x14ac:dyDescent="0.25">
      <c r="A688" s="78" t="s">
        <v>225</v>
      </c>
      <c r="B688" s="120">
        <v>793</v>
      </c>
      <c r="C688" s="79" t="s">
        <v>48</v>
      </c>
      <c r="D688" s="79" t="s">
        <v>38</v>
      </c>
      <c r="E688" s="79" t="s">
        <v>183</v>
      </c>
      <c r="F688" s="79"/>
      <c r="G688" s="81">
        <f t="shared" ref="G688:I689" si="288">G689</f>
        <v>160000</v>
      </c>
      <c r="H688" s="81">
        <f t="shared" si="288"/>
        <v>160000</v>
      </c>
      <c r="I688" s="81">
        <f t="shared" si="288"/>
        <v>160000</v>
      </c>
      <c r="J688" s="136"/>
      <c r="K688" s="141"/>
      <c r="L688" s="141"/>
      <c r="M688" s="141"/>
      <c r="N688" s="141"/>
      <c r="O688" s="141"/>
      <c r="P688" s="141"/>
      <c r="Q688" s="141"/>
      <c r="R688" s="141"/>
    </row>
    <row r="689" spans="1:18" s="18" customFormat="1" ht="26.4" x14ac:dyDescent="0.25">
      <c r="A689" s="78" t="s">
        <v>223</v>
      </c>
      <c r="B689" s="120">
        <v>793</v>
      </c>
      <c r="C689" s="79" t="s">
        <v>48</v>
      </c>
      <c r="D689" s="79" t="s">
        <v>38</v>
      </c>
      <c r="E689" s="79" t="s">
        <v>183</v>
      </c>
      <c r="F689" s="79" t="s">
        <v>87</v>
      </c>
      <c r="G689" s="81">
        <f t="shared" si="288"/>
        <v>160000</v>
      </c>
      <c r="H689" s="81">
        <f t="shared" si="288"/>
        <v>160000</v>
      </c>
      <c r="I689" s="81">
        <f t="shared" si="288"/>
        <v>160000</v>
      </c>
      <c r="J689" s="136"/>
      <c r="K689" s="141"/>
      <c r="L689" s="141"/>
      <c r="M689" s="141"/>
      <c r="N689" s="141"/>
      <c r="O689" s="141"/>
      <c r="P689" s="141"/>
      <c r="Q689" s="141"/>
      <c r="R689" s="141"/>
    </row>
    <row r="690" spans="1:18" s="18" customFormat="1" ht="26.4" x14ac:dyDescent="0.25">
      <c r="A690" s="78" t="s">
        <v>221</v>
      </c>
      <c r="B690" s="120">
        <v>793</v>
      </c>
      <c r="C690" s="79" t="s">
        <v>48</v>
      </c>
      <c r="D690" s="79" t="s">
        <v>38</v>
      </c>
      <c r="E690" s="79" t="s">
        <v>183</v>
      </c>
      <c r="F690" s="79" t="s">
        <v>222</v>
      </c>
      <c r="G690" s="81">
        <v>160000</v>
      </c>
      <c r="H690" s="81">
        <v>160000</v>
      </c>
      <c r="I690" s="81">
        <v>160000</v>
      </c>
      <c r="J690" s="136"/>
      <c r="K690" s="141"/>
      <c r="L690" s="141"/>
      <c r="M690" s="141"/>
      <c r="N690" s="141"/>
      <c r="O690" s="141"/>
      <c r="P690" s="141"/>
      <c r="Q690" s="141"/>
      <c r="R690" s="141"/>
    </row>
    <row r="691" spans="1:18" ht="26.4" x14ac:dyDescent="0.25">
      <c r="A691" s="110" t="s">
        <v>189</v>
      </c>
      <c r="B691" s="192">
        <v>793</v>
      </c>
      <c r="C691" s="191" t="s">
        <v>14</v>
      </c>
      <c r="D691" s="191"/>
      <c r="E691" s="191"/>
      <c r="F691" s="191"/>
      <c r="G691" s="188">
        <f t="shared" ref="G691:I696" si="289">G692</f>
        <v>13529596.060000001</v>
      </c>
      <c r="H691" s="188">
        <f t="shared" si="289"/>
        <v>24901892.050000001</v>
      </c>
      <c r="I691" s="188">
        <f t="shared" si="289"/>
        <v>29569864.66</v>
      </c>
      <c r="J691" s="147"/>
    </row>
    <row r="692" spans="1:18" ht="28.5" customHeight="1" x14ac:dyDescent="0.25">
      <c r="A692" s="111" t="s">
        <v>190</v>
      </c>
      <c r="B692" s="273">
        <v>793</v>
      </c>
      <c r="C692" s="79" t="s">
        <v>14</v>
      </c>
      <c r="D692" s="79" t="s">
        <v>10</v>
      </c>
      <c r="E692" s="126"/>
      <c r="F692" s="126"/>
      <c r="G692" s="81">
        <f t="shared" si="289"/>
        <v>13529596.060000001</v>
      </c>
      <c r="H692" s="81">
        <f t="shared" si="289"/>
        <v>24901892.050000001</v>
      </c>
      <c r="I692" s="81">
        <f t="shared" si="289"/>
        <v>29569864.66</v>
      </c>
      <c r="J692" s="137"/>
    </row>
    <row r="693" spans="1:18" s="28" customFormat="1" ht="49.5" customHeight="1" x14ac:dyDescent="0.25">
      <c r="A693" s="16" t="s">
        <v>371</v>
      </c>
      <c r="B693" s="49">
        <v>793</v>
      </c>
      <c r="C693" s="79" t="s">
        <v>14</v>
      </c>
      <c r="D693" s="79" t="s">
        <v>10</v>
      </c>
      <c r="E693" s="79" t="s">
        <v>143</v>
      </c>
      <c r="F693" s="133"/>
      <c r="G693" s="81">
        <f t="shared" si="289"/>
        <v>13529596.060000001</v>
      </c>
      <c r="H693" s="81">
        <f t="shared" si="289"/>
        <v>24901892.050000001</v>
      </c>
      <c r="I693" s="81">
        <f t="shared" si="289"/>
        <v>29569864.66</v>
      </c>
      <c r="J693" s="137"/>
      <c r="K693" s="156"/>
      <c r="L693" s="156"/>
      <c r="M693" s="156"/>
      <c r="N693" s="156"/>
      <c r="O693" s="156"/>
      <c r="P693" s="156"/>
      <c r="Q693" s="156"/>
      <c r="R693" s="156"/>
    </row>
    <row r="694" spans="1:18" s="28" customFormat="1" ht="45" customHeight="1" x14ac:dyDescent="0.25">
      <c r="A694" s="78" t="s">
        <v>382</v>
      </c>
      <c r="B694" s="49">
        <v>793</v>
      </c>
      <c r="C694" s="79" t="s">
        <v>14</v>
      </c>
      <c r="D694" s="79" t="s">
        <v>10</v>
      </c>
      <c r="E694" s="79" t="s">
        <v>148</v>
      </c>
      <c r="F694" s="133"/>
      <c r="G694" s="81">
        <f t="shared" si="289"/>
        <v>13529596.060000001</v>
      </c>
      <c r="H694" s="81">
        <f t="shared" si="289"/>
        <v>24901892.050000001</v>
      </c>
      <c r="I694" s="81">
        <f t="shared" si="289"/>
        <v>29569864.66</v>
      </c>
      <c r="J694" s="137"/>
      <c r="K694" s="156"/>
      <c r="L694" s="156"/>
      <c r="M694" s="156"/>
      <c r="N694" s="156"/>
      <c r="O694" s="156"/>
      <c r="P694" s="156"/>
      <c r="Q694" s="156"/>
      <c r="R694" s="156"/>
    </row>
    <row r="695" spans="1:18" x14ac:dyDescent="0.25">
      <c r="A695" s="78" t="s">
        <v>191</v>
      </c>
      <c r="B695" s="49">
        <v>793</v>
      </c>
      <c r="C695" s="79" t="s">
        <v>14</v>
      </c>
      <c r="D695" s="79" t="s">
        <v>10</v>
      </c>
      <c r="E695" s="79" t="s">
        <v>149</v>
      </c>
      <c r="F695" s="79"/>
      <c r="G695" s="81">
        <f t="shared" si="289"/>
        <v>13529596.060000001</v>
      </c>
      <c r="H695" s="81">
        <f t="shared" si="289"/>
        <v>24901892.050000001</v>
      </c>
      <c r="I695" s="81">
        <f t="shared" si="289"/>
        <v>29569864.66</v>
      </c>
      <c r="J695" s="137"/>
    </row>
    <row r="696" spans="1:18" ht="26.4" x14ac:dyDescent="0.25">
      <c r="A696" s="78" t="s">
        <v>192</v>
      </c>
      <c r="B696" s="49">
        <v>793</v>
      </c>
      <c r="C696" s="79" t="s">
        <v>14</v>
      </c>
      <c r="D696" s="79" t="s">
        <v>10</v>
      </c>
      <c r="E696" s="79" t="s">
        <v>149</v>
      </c>
      <c r="F696" s="79" t="s">
        <v>193</v>
      </c>
      <c r="G696" s="81">
        <f t="shared" si="289"/>
        <v>13529596.060000001</v>
      </c>
      <c r="H696" s="81">
        <f t="shared" si="289"/>
        <v>24901892.050000001</v>
      </c>
      <c r="I696" s="81">
        <f t="shared" si="289"/>
        <v>29569864.66</v>
      </c>
      <c r="J696" s="137"/>
    </row>
    <row r="697" spans="1:18" x14ac:dyDescent="0.25">
      <c r="A697" s="78" t="s">
        <v>194</v>
      </c>
      <c r="B697" s="49">
        <v>793</v>
      </c>
      <c r="C697" s="79" t="s">
        <v>14</v>
      </c>
      <c r="D697" s="79" t="s">
        <v>10</v>
      </c>
      <c r="E697" s="79" t="s">
        <v>149</v>
      </c>
      <c r="F697" s="79" t="s">
        <v>195</v>
      </c>
      <c r="G697" s="81">
        <v>13529596.060000001</v>
      </c>
      <c r="H697" s="81">
        <f>9856000+15045892.05</f>
        <v>24901892.050000001</v>
      </c>
      <c r="I697" s="81">
        <f>13899000+15670864.66</f>
        <v>29569864.66</v>
      </c>
      <c r="J697" s="137"/>
    </row>
    <row r="698" spans="1:18" s="106" customFormat="1" x14ac:dyDescent="0.25">
      <c r="A698" s="262" t="s">
        <v>53</v>
      </c>
      <c r="B698" s="258"/>
      <c r="C698" s="261"/>
      <c r="D698" s="261"/>
      <c r="E698" s="261"/>
      <c r="F698" s="261"/>
      <c r="G698" s="259">
        <f>G381+G484+G492+G524+G549+G619+G637+G655+G691</f>
        <v>771915141.03999996</v>
      </c>
      <c r="H698" s="259">
        <f>H381+H484+H492+H524+H549+H619+H637+H655+H691</f>
        <v>797718690.89999998</v>
      </c>
      <c r="I698" s="259">
        <f>I381+I484+I492+I524+I549+I619+I637+I655+I691</f>
        <v>348049401.34000003</v>
      </c>
      <c r="J698" s="148">
        <f>G381+G484+G492++G524+G549++G619+G655</f>
        <v>301784042.23000002</v>
      </c>
      <c r="K698" s="159"/>
      <c r="L698" s="159"/>
      <c r="M698" s="158"/>
      <c r="N698" s="159"/>
      <c r="O698" s="159">
        <f>I392+I405+I415+I425++I430+I435+I489+I642+I648+I681+I684+I687</f>
        <v>49587750.049999997</v>
      </c>
      <c r="P698" s="158"/>
      <c r="Q698" s="159"/>
      <c r="R698" s="158"/>
    </row>
    <row r="699" spans="1:18" ht="40.5" customHeight="1" x14ac:dyDescent="0.25">
      <c r="A699" s="238" t="s">
        <v>410</v>
      </c>
      <c r="B699" s="235">
        <v>794</v>
      </c>
      <c r="C699" s="242"/>
      <c r="D699" s="242"/>
      <c r="E699" s="242"/>
      <c r="F699" s="242"/>
      <c r="G699" s="241"/>
      <c r="H699" s="241"/>
      <c r="I699" s="241"/>
      <c r="J699" s="199"/>
      <c r="K699" s="180"/>
      <c r="L699" s="69"/>
      <c r="M699" s="69"/>
      <c r="N699" s="180"/>
      <c r="O699" s="69"/>
      <c r="P699" s="69"/>
      <c r="Q699" s="180"/>
      <c r="R699" s="69"/>
    </row>
    <row r="700" spans="1:18" x14ac:dyDescent="0.25">
      <c r="A700" s="196" t="s">
        <v>9</v>
      </c>
      <c r="B700" s="192">
        <v>794</v>
      </c>
      <c r="C700" s="191" t="s">
        <v>10</v>
      </c>
      <c r="D700" s="191"/>
      <c r="E700" s="191"/>
      <c r="F700" s="191"/>
      <c r="G700" s="188">
        <f>G701+G726</f>
        <v>4363750</v>
      </c>
      <c r="H700" s="188">
        <f>H701+H726</f>
        <v>4911478</v>
      </c>
      <c r="I700" s="188">
        <f>I701+I726</f>
        <v>4964861</v>
      </c>
      <c r="J700" s="147"/>
      <c r="N700" s="160"/>
    </row>
    <row r="701" spans="1:18" ht="39.6" x14ac:dyDescent="0.25">
      <c r="A701" s="78" t="s">
        <v>227</v>
      </c>
      <c r="B701" s="120">
        <v>794</v>
      </c>
      <c r="C701" s="79" t="s">
        <v>10</v>
      </c>
      <c r="D701" s="79" t="s">
        <v>49</v>
      </c>
      <c r="E701" s="79"/>
      <c r="F701" s="79"/>
      <c r="G701" s="81">
        <f>G702</f>
        <v>4363750</v>
      </c>
      <c r="H701" s="81">
        <f>H702</f>
        <v>4911478</v>
      </c>
      <c r="I701" s="81">
        <f>I702</f>
        <v>4964861</v>
      </c>
      <c r="J701" s="137"/>
      <c r="K701" s="160"/>
      <c r="L701" s="160"/>
    </row>
    <row r="702" spans="1:18" s="46" customFormat="1" x14ac:dyDescent="0.25">
      <c r="A702" s="78" t="s">
        <v>228</v>
      </c>
      <c r="B702" s="120">
        <v>794</v>
      </c>
      <c r="C702" s="79" t="s">
        <v>10</v>
      </c>
      <c r="D702" s="79" t="s">
        <v>49</v>
      </c>
      <c r="E702" s="79" t="s">
        <v>169</v>
      </c>
      <c r="F702" s="79"/>
      <c r="G702" s="81">
        <f>G703+G707+G711</f>
        <v>4363750</v>
      </c>
      <c r="H702" s="81">
        <f>H703+H707+H711</f>
        <v>4911478</v>
      </c>
      <c r="I702" s="81">
        <f>I703+I707+I711</f>
        <v>4964861</v>
      </c>
      <c r="J702" s="137"/>
      <c r="K702" s="168"/>
      <c r="L702" s="168"/>
      <c r="M702" s="168"/>
      <c r="N702" s="163"/>
      <c r="O702" s="168"/>
      <c r="P702" s="168"/>
      <c r="Q702" s="168"/>
      <c r="R702" s="168"/>
    </row>
    <row r="703" spans="1:18" s="33" customFormat="1" ht="26.4" x14ac:dyDescent="0.25">
      <c r="A703" s="78" t="s">
        <v>395</v>
      </c>
      <c r="B703" s="120">
        <v>794</v>
      </c>
      <c r="C703" s="79" t="s">
        <v>10</v>
      </c>
      <c r="D703" s="79" t="s">
        <v>49</v>
      </c>
      <c r="E703" s="79" t="s">
        <v>170</v>
      </c>
      <c r="F703" s="133"/>
      <c r="G703" s="81">
        <f t="shared" ref="G703:I705" si="290">G704</f>
        <v>1664847</v>
      </c>
      <c r="H703" s="81">
        <f t="shared" si="290"/>
        <v>1681495</v>
      </c>
      <c r="I703" s="81">
        <f t="shared" si="290"/>
        <v>1698310</v>
      </c>
      <c r="J703" s="137"/>
      <c r="K703" s="162"/>
      <c r="L703" s="162"/>
      <c r="M703" s="162"/>
      <c r="N703" s="162"/>
      <c r="O703" s="162"/>
      <c r="P703" s="162"/>
      <c r="Q703" s="162"/>
      <c r="R703" s="162"/>
    </row>
    <row r="704" spans="1:18" s="33" customFormat="1" ht="26.4" x14ac:dyDescent="0.25">
      <c r="A704" s="78" t="s">
        <v>55</v>
      </c>
      <c r="B704" s="120">
        <v>794</v>
      </c>
      <c r="C704" s="79" t="s">
        <v>10</v>
      </c>
      <c r="D704" s="79" t="s">
        <v>49</v>
      </c>
      <c r="E704" s="79" t="s">
        <v>171</v>
      </c>
      <c r="F704" s="79"/>
      <c r="G704" s="81">
        <f t="shared" si="290"/>
        <v>1664847</v>
      </c>
      <c r="H704" s="81">
        <f t="shared" si="290"/>
        <v>1681495</v>
      </c>
      <c r="I704" s="81">
        <f t="shared" si="290"/>
        <v>1698310</v>
      </c>
      <c r="J704" s="137"/>
      <c r="K704" s="162"/>
      <c r="L704" s="162"/>
      <c r="M704" s="162"/>
      <c r="N704" s="162"/>
      <c r="O704" s="162"/>
      <c r="P704" s="162"/>
      <c r="Q704" s="162"/>
      <c r="R704" s="162"/>
    </row>
    <row r="705" spans="1:18" s="33" customFormat="1" ht="66" x14ac:dyDescent="0.25">
      <c r="A705" s="119" t="s">
        <v>39</v>
      </c>
      <c r="B705" s="120">
        <v>794</v>
      </c>
      <c r="C705" s="79" t="s">
        <v>10</v>
      </c>
      <c r="D705" s="79" t="s">
        <v>49</v>
      </c>
      <c r="E705" s="79" t="s">
        <v>171</v>
      </c>
      <c r="F705" s="79" t="s">
        <v>41</v>
      </c>
      <c r="G705" s="81">
        <f t="shared" si="290"/>
        <v>1664847</v>
      </c>
      <c r="H705" s="81">
        <f t="shared" si="290"/>
        <v>1681495</v>
      </c>
      <c r="I705" s="81">
        <f t="shared" si="290"/>
        <v>1698310</v>
      </c>
      <c r="J705" s="137"/>
      <c r="K705" s="162"/>
      <c r="L705" s="162"/>
      <c r="M705" s="162"/>
      <c r="N705" s="162"/>
      <c r="O705" s="162"/>
      <c r="P705" s="162"/>
      <c r="Q705" s="162"/>
      <c r="R705" s="162"/>
    </row>
    <row r="706" spans="1:18" ht="26.4" x14ac:dyDescent="0.25">
      <c r="A706" s="119" t="s">
        <v>40</v>
      </c>
      <c r="B706" s="120">
        <v>794</v>
      </c>
      <c r="C706" s="79" t="s">
        <v>10</v>
      </c>
      <c r="D706" s="79" t="s">
        <v>49</v>
      </c>
      <c r="E706" s="79" t="s">
        <v>171</v>
      </c>
      <c r="F706" s="79" t="s">
        <v>42</v>
      </c>
      <c r="G706" s="81">
        <f>1631550+33297</f>
        <v>1664847</v>
      </c>
      <c r="H706" s="81">
        <f>1647866+33629</f>
        <v>1681495</v>
      </c>
      <c r="I706" s="81">
        <f>1664344+33966</f>
        <v>1698310</v>
      </c>
      <c r="J706" s="137"/>
    </row>
    <row r="707" spans="1:18" s="33" customFormat="1" ht="26.4" x14ac:dyDescent="0.25">
      <c r="A707" s="78" t="s">
        <v>396</v>
      </c>
      <c r="B707" s="120">
        <v>794</v>
      </c>
      <c r="C707" s="79" t="s">
        <v>10</v>
      </c>
      <c r="D707" s="79" t="s">
        <v>49</v>
      </c>
      <c r="E707" s="79" t="s">
        <v>172</v>
      </c>
      <c r="F707" s="133"/>
      <c r="G707" s="81">
        <f t="shared" ref="G707:I709" si="291">G708</f>
        <v>649944</v>
      </c>
      <c r="H707" s="81">
        <f t="shared" si="291"/>
        <v>649944</v>
      </c>
      <c r="I707" s="81">
        <f t="shared" si="291"/>
        <v>649944</v>
      </c>
      <c r="J707" s="137"/>
      <c r="K707" s="162"/>
      <c r="L707" s="162"/>
      <c r="M707" s="162"/>
      <c r="N707" s="162"/>
      <c r="O707" s="162"/>
      <c r="P707" s="162"/>
      <c r="Q707" s="162"/>
      <c r="R707" s="162"/>
    </row>
    <row r="708" spans="1:18" s="33" customFormat="1" ht="26.4" x14ac:dyDescent="0.25">
      <c r="A708" s="78" t="s">
        <v>55</v>
      </c>
      <c r="B708" s="120">
        <v>794</v>
      </c>
      <c r="C708" s="79" t="s">
        <v>10</v>
      </c>
      <c r="D708" s="79" t="s">
        <v>49</v>
      </c>
      <c r="E708" s="79" t="s">
        <v>173</v>
      </c>
      <c r="F708" s="79"/>
      <c r="G708" s="81">
        <f t="shared" si="291"/>
        <v>649944</v>
      </c>
      <c r="H708" s="81">
        <f t="shared" si="291"/>
        <v>649944</v>
      </c>
      <c r="I708" s="81">
        <f t="shared" si="291"/>
        <v>649944</v>
      </c>
      <c r="J708" s="137"/>
      <c r="K708" s="162"/>
      <c r="L708" s="162"/>
      <c r="M708" s="162"/>
      <c r="N708" s="162"/>
      <c r="O708" s="162"/>
      <c r="P708" s="162"/>
      <c r="Q708" s="162"/>
      <c r="R708" s="162"/>
    </row>
    <row r="709" spans="1:18" s="33" customFormat="1" ht="66" x14ac:dyDescent="0.25">
      <c r="A709" s="119" t="s">
        <v>39</v>
      </c>
      <c r="B709" s="120">
        <v>794</v>
      </c>
      <c r="C709" s="79" t="s">
        <v>10</v>
      </c>
      <c r="D709" s="79" t="s">
        <v>49</v>
      </c>
      <c r="E709" s="79" t="s">
        <v>173</v>
      </c>
      <c r="F709" s="79" t="s">
        <v>41</v>
      </c>
      <c r="G709" s="81">
        <f t="shared" si="291"/>
        <v>649944</v>
      </c>
      <c r="H709" s="81">
        <f t="shared" si="291"/>
        <v>649944</v>
      </c>
      <c r="I709" s="81">
        <f t="shared" si="291"/>
        <v>649944</v>
      </c>
      <c r="J709" s="137"/>
      <c r="K709" s="167"/>
      <c r="L709" s="162"/>
      <c r="M709" s="162"/>
      <c r="N709" s="162"/>
      <c r="O709" s="162"/>
      <c r="P709" s="162"/>
      <c r="Q709" s="162"/>
      <c r="R709" s="162"/>
    </row>
    <row r="710" spans="1:18" s="33" customFormat="1" ht="26.4" x14ac:dyDescent="0.25">
      <c r="A710" s="119" t="s">
        <v>40</v>
      </c>
      <c r="B710" s="120">
        <v>794</v>
      </c>
      <c r="C710" s="79" t="s">
        <v>10</v>
      </c>
      <c r="D710" s="79" t="s">
        <v>49</v>
      </c>
      <c r="E710" s="79" t="s">
        <v>173</v>
      </c>
      <c r="F710" s="79" t="s">
        <v>42</v>
      </c>
      <c r="G710" s="81">
        <v>649944</v>
      </c>
      <c r="H710" s="81">
        <v>649944</v>
      </c>
      <c r="I710" s="81">
        <v>649944</v>
      </c>
      <c r="J710" s="137"/>
      <c r="K710" s="162"/>
      <c r="L710" s="162"/>
      <c r="M710" s="167"/>
      <c r="N710" s="162"/>
      <c r="O710" s="162"/>
      <c r="P710" s="162"/>
      <c r="Q710" s="162"/>
      <c r="R710" s="162"/>
    </row>
    <row r="711" spans="1:18" ht="26.4" x14ac:dyDescent="0.25">
      <c r="A711" s="119" t="s">
        <v>229</v>
      </c>
      <c r="B711" s="120">
        <v>794</v>
      </c>
      <c r="C711" s="79" t="s">
        <v>10</v>
      </c>
      <c r="D711" s="79" t="s">
        <v>49</v>
      </c>
      <c r="E711" s="79" t="s">
        <v>174</v>
      </c>
      <c r="F711" s="79"/>
      <c r="G711" s="81">
        <f>G712</f>
        <v>2048959</v>
      </c>
      <c r="H711" s="81">
        <f>H712</f>
        <v>2580039</v>
      </c>
      <c r="I711" s="81">
        <f>I712</f>
        <v>2616607</v>
      </c>
      <c r="J711" s="137"/>
      <c r="Q711" s="162"/>
    </row>
    <row r="712" spans="1:18" s="33" customFormat="1" ht="26.4" x14ac:dyDescent="0.25">
      <c r="A712" s="78" t="s">
        <v>55</v>
      </c>
      <c r="B712" s="120">
        <v>794</v>
      </c>
      <c r="C712" s="79" t="s">
        <v>10</v>
      </c>
      <c r="D712" s="79" t="s">
        <v>49</v>
      </c>
      <c r="E712" s="79" t="s">
        <v>175</v>
      </c>
      <c r="F712" s="133"/>
      <c r="G712" s="81">
        <f>G713+G715</f>
        <v>2048959</v>
      </c>
      <c r="H712" s="81">
        <f t="shared" ref="H712:I712" si="292">H713+H715</f>
        <v>2580039</v>
      </c>
      <c r="I712" s="81">
        <f t="shared" si="292"/>
        <v>2616607</v>
      </c>
      <c r="J712" s="137"/>
      <c r="K712" s="162"/>
      <c r="L712" s="162"/>
      <c r="M712" s="162"/>
      <c r="N712" s="162"/>
      <c r="O712" s="162"/>
      <c r="P712" s="162"/>
      <c r="Q712" s="162"/>
      <c r="R712" s="162"/>
    </row>
    <row r="713" spans="1:18" ht="66" x14ac:dyDescent="0.25">
      <c r="A713" s="119" t="s">
        <v>39</v>
      </c>
      <c r="B713" s="120">
        <v>794</v>
      </c>
      <c r="C713" s="79" t="s">
        <v>10</v>
      </c>
      <c r="D713" s="79" t="s">
        <v>49</v>
      </c>
      <c r="E713" s="79" t="s">
        <v>175</v>
      </c>
      <c r="F713" s="79" t="s">
        <v>41</v>
      </c>
      <c r="G713" s="81">
        <f>G714</f>
        <v>1590089</v>
      </c>
      <c r="H713" s="81">
        <f>H714</f>
        <v>2006389</v>
      </c>
      <c r="I713" s="81">
        <f>I714</f>
        <v>2035985</v>
      </c>
      <c r="J713" s="137"/>
      <c r="Q713" s="162"/>
    </row>
    <row r="714" spans="1:18" ht="26.4" x14ac:dyDescent="0.25">
      <c r="A714" s="119" t="s">
        <v>40</v>
      </c>
      <c r="B714" s="120">
        <v>794</v>
      </c>
      <c r="C714" s="79" t="s">
        <v>10</v>
      </c>
      <c r="D714" s="79" t="s">
        <v>49</v>
      </c>
      <c r="E714" s="79" t="s">
        <v>175</v>
      </c>
      <c r="F714" s="79" t="s">
        <v>42</v>
      </c>
      <c r="G714" s="81">
        <f>1109899+145000+335190</f>
        <v>1590089</v>
      </c>
      <c r="H714" s="81">
        <v>2006389</v>
      </c>
      <c r="I714" s="81">
        <v>2035985</v>
      </c>
      <c r="J714" s="137"/>
      <c r="Q714" s="162"/>
    </row>
    <row r="715" spans="1:18" ht="26.4" x14ac:dyDescent="0.25">
      <c r="A715" s="78" t="s">
        <v>25</v>
      </c>
      <c r="B715" s="120">
        <v>794</v>
      </c>
      <c r="C715" s="79" t="s">
        <v>10</v>
      </c>
      <c r="D715" s="79" t="s">
        <v>49</v>
      </c>
      <c r="E715" s="79" t="s">
        <v>175</v>
      </c>
      <c r="F715" s="79" t="s">
        <v>26</v>
      </c>
      <c r="G715" s="81">
        <f>G716</f>
        <v>458870</v>
      </c>
      <c r="H715" s="81">
        <f>H716</f>
        <v>573650</v>
      </c>
      <c r="I715" s="81">
        <f>I716</f>
        <v>580622</v>
      </c>
      <c r="J715" s="137"/>
      <c r="Q715" s="162"/>
    </row>
    <row r="716" spans="1:18" ht="26.4" x14ac:dyDescent="0.25">
      <c r="A716" s="78" t="s">
        <v>27</v>
      </c>
      <c r="B716" s="120">
        <v>794</v>
      </c>
      <c r="C716" s="79" t="s">
        <v>10</v>
      </c>
      <c r="D716" s="79" t="s">
        <v>49</v>
      </c>
      <c r="E716" s="79" t="s">
        <v>175</v>
      </c>
      <c r="F716" s="79" t="s">
        <v>28</v>
      </c>
      <c r="G716" s="81">
        <v>458870</v>
      </c>
      <c r="H716" s="81">
        <f>573650</f>
        <v>573650</v>
      </c>
      <c r="I716" s="81">
        <f>580622</f>
        <v>580622</v>
      </c>
      <c r="J716" s="137"/>
      <c r="Q716" s="162"/>
    </row>
    <row r="717" spans="1:18" x14ac:dyDescent="0.25">
      <c r="A717" s="11" t="s">
        <v>84</v>
      </c>
      <c r="B717" s="19">
        <v>794</v>
      </c>
      <c r="C717" s="7" t="s">
        <v>48</v>
      </c>
      <c r="D717" s="7"/>
      <c r="E717" s="15"/>
      <c r="F717" s="7"/>
      <c r="G717" s="38">
        <f>G718</f>
        <v>304811</v>
      </c>
      <c r="H717" s="38">
        <f t="shared" ref="H717:I717" si="293">H718</f>
        <v>317003</v>
      </c>
      <c r="I717" s="38">
        <f t="shared" si="293"/>
        <v>317003</v>
      </c>
      <c r="J717" s="208"/>
      <c r="K717" s="69"/>
      <c r="L717" s="69"/>
      <c r="M717" s="69"/>
      <c r="N717" s="69"/>
      <c r="O717" s="69"/>
      <c r="P717" s="69"/>
      <c r="Q717" s="69"/>
      <c r="R717" s="69"/>
    </row>
    <row r="718" spans="1:18" x14ac:dyDescent="0.25">
      <c r="A718" s="16" t="s">
        <v>85</v>
      </c>
      <c r="B718" s="14">
        <v>794</v>
      </c>
      <c r="C718" s="15" t="s">
        <v>48</v>
      </c>
      <c r="D718" s="15" t="s">
        <v>10</v>
      </c>
      <c r="E718" s="15"/>
      <c r="F718" s="15"/>
      <c r="G718" s="70">
        <f t="shared" ref="G718:I721" si="294">G719</f>
        <v>304811</v>
      </c>
      <c r="H718" s="70">
        <f t="shared" si="294"/>
        <v>317003</v>
      </c>
      <c r="I718" s="70">
        <f t="shared" si="294"/>
        <v>317003</v>
      </c>
      <c r="J718" s="136"/>
      <c r="K718" s="69"/>
      <c r="L718" s="69"/>
      <c r="M718" s="69"/>
      <c r="N718" s="69"/>
      <c r="O718" s="69"/>
      <c r="P718" s="69"/>
      <c r="Q718" s="69"/>
      <c r="R718" s="69"/>
    </row>
    <row r="719" spans="1:18" s="28" customFormat="1" ht="36" customHeight="1" x14ac:dyDescent="0.25">
      <c r="A719" s="16" t="s">
        <v>374</v>
      </c>
      <c r="B719" s="14">
        <v>794</v>
      </c>
      <c r="C719" s="15" t="s">
        <v>48</v>
      </c>
      <c r="D719" s="15" t="s">
        <v>10</v>
      </c>
      <c r="E719" s="15" t="s">
        <v>181</v>
      </c>
      <c r="F719" s="39"/>
      <c r="G719" s="70">
        <f t="shared" si="294"/>
        <v>304811</v>
      </c>
      <c r="H719" s="70">
        <f t="shared" si="294"/>
        <v>317003</v>
      </c>
      <c r="I719" s="70">
        <f t="shared" si="294"/>
        <v>317003</v>
      </c>
      <c r="J719" s="136"/>
      <c r="K719" s="202"/>
      <c r="L719" s="202"/>
      <c r="M719" s="202"/>
      <c r="N719" s="202"/>
      <c r="O719" s="202"/>
      <c r="P719" s="202"/>
      <c r="Q719" s="202"/>
      <c r="R719" s="202"/>
    </row>
    <row r="720" spans="1:18" s="28" customFormat="1" ht="52.8" x14ac:dyDescent="0.25">
      <c r="A720" s="16" t="s">
        <v>420</v>
      </c>
      <c r="B720" s="14">
        <v>794</v>
      </c>
      <c r="C720" s="15" t="s">
        <v>48</v>
      </c>
      <c r="D720" s="15" t="s">
        <v>10</v>
      </c>
      <c r="E720" s="15" t="s">
        <v>182</v>
      </c>
      <c r="F720" s="39"/>
      <c r="G720" s="70">
        <f t="shared" si="294"/>
        <v>304811</v>
      </c>
      <c r="H720" s="70">
        <f t="shared" si="294"/>
        <v>317003</v>
      </c>
      <c r="I720" s="70">
        <f t="shared" si="294"/>
        <v>317003</v>
      </c>
      <c r="J720" s="136"/>
      <c r="K720" s="202"/>
      <c r="L720" s="202"/>
      <c r="M720" s="202"/>
      <c r="N720" s="202"/>
      <c r="O720" s="202"/>
      <c r="P720" s="202"/>
      <c r="Q720" s="202"/>
      <c r="R720" s="202"/>
    </row>
    <row r="721" spans="1:18" s="28" customFormat="1" x14ac:dyDescent="0.25">
      <c r="A721" s="16" t="s">
        <v>86</v>
      </c>
      <c r="B721" s="14">
        <v>794</v>
      </c>
      <c r="C721" s="15" t="s">
        <v>48</v>
      </c>
      <c r="D721" s="15" t="s">
        <v>10</v>
      </c>
      <c r="E721" s="15" t="s">
        <v>182</v>
      </c>
      <c r="F721" s="15" t="s">
        <v>87</v>
      </c>
      <c r="G721" s="70">
        <f t="shared" si="294"/>
        <v>304811</v>
      </c>
      <c r="H721" s="70">
        <f>H722</f>
        <v>317003</v>
      </c>
      <c r="I721" s="70">
        <f t="shared" si="294"/>
        <v>317003</v>
      </c>
      <c r="J721" s="136"/>
      <c r="K721" s="202"/>
      <c r="L721" s="202"/>
      <c r="M721" s="202"/>
      <c r="N721" s="202"/>
      <c r="O721" s="202"/>
      <c r="P721" s="202"/>
      <c r="Q721" s="202"/>
      <c r="R721" s="202"/>
    </row>
    <row r="722" spans="1:18" s="28" customFormat="1" ht="26.4" x14ac:dyDescent="0.25">
      <c r="A722" s="16" t="s">
        <v>221</v>
      </c>
      <c r="B722" s="14">
        <v>794</v>
      </c>
      <c r="C722" s="15" t="s">
        <v>48</v>
      </c>
      <c r="D722" s="15" t="s">
        <v>10</v>
      </c>
      <c r="E722" s="15" t="s">
        <v>182</v>
      </c>
      <c r="F722" s="15" t="s">
        <v>222</v>
      </c>
      <c r="G722" s="70">
        <v>304811</v>
      </c>
      <c r="H722" s="70">
        <v>317003</v>
      </c>
      <c r="I722" s="70">
        <v>317003</v>
      </c>
      <c r="J722" s="136" t="e">
        <f>G722+#REF!+#REF!+#REF!+#REF!+#REF!+#REF!+#REF!</f>
        <v>#REF!</v>
      </c>
      <c r="K722" s="202"/>
      <c r="L722" s="202"/>
      <c r="M722" s="202"/>
      <c r="N722" s="202"/>
      <c r="O722" s="202"/>
      <c r="P722" s="202"/>
      <c r="Q722" s="202"/>
      <c r="R722" s="202"/>
    </row>
    <row r="723" spans="1:18" s="106" customFormat="1" x14ac:dyDescent="0.25">
      <c r="A723" s="262" t="s">
        <v>53</v>
      </c>
      <c r="B723" s="258"/>
      <c r="C723" s="261"/>
      <c r="D723" s="261"/>
      <c r="E723" s="261"/>
      <c r="F723" s="261"/>
      <c r="G723" s="259">
        <f>G700+G717</f>
        <v>4668561</v>
      </c>
      <c r="H723" s="259">
        <f>H700+H717</f>
        <v>5228481</v>
      </c>
      <c r="I723" s="259">
        <f t="shared" ref="I723" si="295">I700+I717</f>
        <v>5281864</v>
      </c>
      <c r="J723" s="148"/>
      <c r="K723" s="158"/>
      <c r="L723" s="158"/>
      <c r="M723" s="158"/>
      <c r="N723" s="158"/>
      <c r="O723" s="158"/>
      <c r="P723" s="158"/>
      <c r="Q723" s="158"/>
      <c r="R723" s="158"/>
    </row>
    <row r="724" spans="1:18" ht="42.75" customHeight="1" x14ac:dyDescent="0.25">
      <c r="A724" s="238" t="s">
        <v>411</v>
      </c>
      <c r="B724" s="235">
        <v>799</v>
      </c>
      <c r="C724" s="242"/>
      <c r="D724" s="242"/>
      <c r="E724" s="242"/>
      <c r="F724" s="242"/>
      <c r="G724" s="241"/>
      <c r="H724" s="241"/>
      <c r="I724" s="241"/>
      <c r="J724" s="199"/>
      <c r="K724" s="180"/>
      <c r="L724" s="69"/>
      <c r="M724" s="69"/>
      <c r="N724" s="69"/>
      <c r="O724" s="69"/>
      <c r="P724" s="69"/>
      <c r="Q724" s="69"/>
      <c r="R724" s="69"/>
    </row>
    <row r="725" spans="1:18" s="33" customFormat="1" ht="39" customHeight="1" x14ac:dyDescent="0.25">
      <c r="A725" s="112" t="s">
        <v>230</v>
      </c>
      <c r="B725" s="120">
        <v>799</v>
      </c>
      <c r="C725" s="79" t="s">
        <v>10</v>
      </c>
      <c r="D725" s="79" t="s">
        <v>92</v>
      </c>
      <c r="E725" s="79"/>
      <c r="F725" s="79"/>
      <c r="G725" s="81">
        <f>G727</f>
        <v>3187528</v>
      </c>
      <c r="H725" s="81">
        <f t="shared" ref="H725:I725" si="296">H727</f>
        <v>3279736</v>
      </c>
      <c r="I725" s="81">
        <f t="shared" si="296"/>
        <v>3395724</v>
      </c>
      <c r="J725" s="137"/>
      <c r="K725" s="162"/>
      <c r="L725" s="162"/>
      <c r="M725" s="162"/>
      <c r="N725" s="162"/>
      <c r="O725" s="162"/>
      <c r="P725" s="162"/>
      <c r="Q725" s="162"/>
      <c r="R725" s="162"/>
    </row>
    <row r="726" spans="1:18" s="3" customFormat="1" ht="39.6" hidden="1" x14ac:dyDescent="0.25">
      <c r="A726" s="78" t="s">
        <v>91</v>
      </c>
      <c r="B726" s="120"/>
      <c r="C726" s="79" t="s">
        <v>10</v>
      </c>
      <c r="D726" s="79" t="s">
        <v>92</v>
      </c>
      <c r="E726" s="79"/>
      <c r="F726" s="79"/>
      <c r="G726" s="81"/>
      <c r="H726" s="81"/>
      <c r="I726" s="81"/>
      <c r="J726" s="137"/>
      <c r="K726" s="153"/>
      <c r="L726" s="153"/>
      <c r="M726" s="153"/>
      <c r="N726" s="153"/>
      <c r="O726" s="153"/>
      <c r="P726" s="153"/>
      <c r="Q726" s="153"/>
      <c r="R726" s="153"/>
    </row>
    <row r="727" spans="1:18" s="46" customFormat="1" ht="26.4" x14ac:dyDescent="0.25">
      <c r="A727" s="78" t="s">
        <v>397</v>
      </c>
      <c r="B727" s="120">
        <v>799</v>
      </c>
      <c r="C727" s="79" t="s">
        <v>10</v>
      </c>
      <c r="D727" s="79" t="s">
        <v>92</v>
      </c>
      <c r="E727" s="79" t="s">
        <v>302</v>
      </c>
      <c r="F727" s="79"/>
      <c r="G727" s="81">
        <f>G728</f>
        <v>3187528</v>
      </c>
      <c r="H727" s="81">
        <f t="shared" ref="H727:I727" si="297">H728</f>
        <v>3279736</v>
      </c>
      <c r="I727" s="81">
        <f t="shared" si="297"/>
        <v>3395724</v>
      </c>
      <c r="J727" s="137"/>
      <c r="K727" s="168"/>
      <c r="L727" s="168"/>
      <c r="M727" s="168"/>
      <c r="N727" s="168"/>
      <c r="O727" s="168"/>
      <c r="P727" s="168"/>
      <c r="Q727" s="168"/>
      <c r="R727" s="168"/>
    </row>
    <row r="728" spans="1:18" s="46" customFormat="1" ht="26.4" x14ac:dyDescent="0.25">
      <c r="A728" s="78" t="s">
        <v>55</v>
      </c>
      <c r="B728" s="120">
        <v>799</v>
      </c>
      <c r="C728" s="79" t="s">
        <v>10</v>
      </c>
      <c r="D728" s="79" t="s">
        <v>92</v>
      </c>
      <c r="E728" s="79" t="s">
        <v>303</v>
      </c>
      <c r="F728" s="79"/>
      <c r="G728" s="81">
        <f>G729+G731</f>
        <v>3187528</v>
      </c>
      <c r="H728" s="81">
        <f t="shared" ref="H728:I728" si="298">H729+H731</f>
        <v>3279736</v>
      </c>
      <c r="I728" s="81">
        <f t="shared" si="298"/>
        <v>3395724</v>
      </c>
      <c r="J728" s="137"/>
      <c r="K728" s="168"/>
      <c r="L728" s="168"/>
      <c r="M728" s="168"/>
      <c r="N728" s="168"/>
      <c r="O728" s="168"/>
      <c r="P728" s="168"/>
      <c r="Q728" s="168"/>
      <c r="R728" s="168"/>
    </row>
    <row r="729" spans="1:18" s="3" customFormat="1" ht="66" x14ac:dyDescent="0.25">
      <c r="A729" s="119" t="s">
        <v>39</v>
      </c>
      <c r="B729" s="120">
        <v>799</v>
      </c>
      <c r="C729" s="79" t="s">
        <v>10</v>
      </c>
      <c r="D729" s="79" t="s">
        <v>92</v>
      </c>
      <c r="E729" s="79" t="s">
        <v>303</v>
      </c>
      <c r="F729" s="79" t="s">
        <v>41</v>
      </c>
      <c r="G729" s="81">
        <f>G730</f>
        <v>3091928</v>
      </c>
      <c r="H729" s="81">
        <f>H730</f>
        <v>3167136</v>
      </c>
      <c r="I729" s="81">
        <f>I730</f>
        <v>3283124</v>
      </c>
      <c r="J729" s="137"/>
      <c r="K729" s="153"/>
      <c r="L729" s="153"/>
      <c r="M729" s="153"/>
      <c r="N729" s="153"/>
      <c r="O729" s="153"/>
      <c r="P729" s="153"/>
      <c r="Q729" s="168"/>
      <c r="R729" s="153"/>
    </row>
    <row r="730" spans="1:18" s="3" customFormat="1" ht="26.4" x14ac:dyDescent="0.25">
      <c r="A730" s="119" t="s">
        <v>40</v>
      </c>
      <c r="B730" s="120">
        <v>799</v>
      </c>
      <c r="C730" s="79" t="s">
        <v>10</v>
      </c>
      <c r="D730" s="79" t="s">
        <v>92</v>
      </c>
      <c r="E730" s="79" t="s">
        <v>303</v>
      </c>
      <c r="F730" s="79" t="s">
        <v>42</v>
      </c>
      <c r="G730" s="81">
        <f>3001561+45000+15400+29967</f>
        <v>3091928</v>
      </c>
      <c r="H730" s="81">
        <f>3121736+27000+18400</f>
        <v>3167136</v>
      </c>
      <c r="I730" s="81">
        <f>3246724+18000+18400</f>
        <v>3283124</v>
      </c>
      <c r="J730" s="137"/>
      <c r="K730" s="153"/>
      <c r="L730" s="153"/>
      <c r="M730" s="153"/>
      <c r="N730" s="153"/>
      <c r="O730" s="153"/>
      <c r="P730" s="153"/>
      <c r="Q730" s="168"/>
      <c r="R730" s="153"/>
    </row>
    <row r="731" spans="1:18" s="3" customFormat="1" ht="26.4" x14ac:dyDescent="0.25">
      <c r="A731" s="78" t="s">
        <v>25</v>
      </c>
      <c r="B731" s="120">
        <v>799</v>
      </c>
      <c r="C731" s="79" t="s">
        <v>10</v>
      </c>
      <c r="D731" s="79" t="s">
        <v>92</v>
      </c>
      <c r="E731" s="79" t="s">
        <v>303</v>
      </c>
      <c r="F731" s="79" t="s">
        <v>26</v>
      </c>
      <c r="G731" s="81">
        <f>G732</f>
        <v>95600</v>
      </c>
      <c r="H731" s="81">
        <f>H732</f>
        <v>112600</v>
      </c>
      <c r="I731" s="81">
        <f>I732</f>
        <v>112600</v>
      </c>
      <c r="J731" s="137"/>
      <c r="K731" s="153"/>
      <c r="L731" s="153"/>
      <c r="M731" s="153"/>
      <c r="N731" s="153"/>
      <c r="O731" s="168"/>
      <c r="P731" s="153"/>
      <c r="Q731" s="168"/>
      <c r="R731" s="153"/>
    </row>
    <row r="732" spans="1:18" s="3" customFormat="1" ht="26.4" x14ac:dyDescent="0.25">
      <c r="A732" s="78" t="s">
        <v>27</v>
      </c>
      <c r="B732" s="120">
        <v>799</v>
      </c>
      <c r="C732" s="79" t="s">
        <v>10</v>
      </c>
      <c r="D732" s="79" t="s">
        <v>92</v>
      </c>
      <c r="E732" s="79" t="s">
        <v>303</v>
      </c>
      <c r="F732" s="79" t="s">
        <v>28</v>
      </c>
      <c r="G732" s="81">
        <f>40000+6000+49600</f>
        <v>95600</v>
      </c>
      <c r="H732" s="81">
        <f>46600+20000+40000+6000</f>
        <v>112600</v>
      </c>
      <c r="I732" s="81">
        <f>46600+20000+40000+6000</f>
        <v>112600</v>
      </c>
      <c r="J732" s="137"/>
      <c r="K732" s="153"/>
      <c r="L732" s="153"/>
      <c r="M732" s="153"/>
      <c r="N732" s="153"/>
      <c r="O732" s="153"/>
      <c r="P732" s="153"/>
      <c r="Q732" s="168"/>
      <c r="R732" s="153"/>
    </row>
    <row r="733" spans="1:18" s="106" customFormat="1" x14ac:dyDescent="0.25">
      <c r="A733" s="262" t="s">
        <v>53</v>
      </c>
      <c r="B733" s="258"/>
      <c r="C733" s="261"/>
      <c r="D733" s="261"/>
      <c r="E733" s="261"/>
      <c r="F733" s="261"/>
      <c r="G733" s="259">
        <f>G725</f>
        <v>3187528</v>
      </c>
      <c r="H733" s="259">
        <f>H725</f>
        <v>3279736</v>
      </c>
      <c r="I733" s="259">
        <f>I725</f>
        <v>3395724</v>
      </c>
      <c r="J733" s="148"/>
      <c r="K733" s="158"/>
      <c r="L733" s="158"/>
      <c r="M733" s="158"/>
      <c r="N733" s="158"/>
      <c r="O733" s="158"/>
      <c r="P733" s="158"/>
      <c r="Q733" s="158"/>
      <c r="R733" s="158"/>
    </row>
    <row r="734" spans="1:18" s="22" customFormat="1" x14ac:dyDescent="0.25">
      <c r="A734" s="203" t="s">
        <v>377</v>
      </c>
      <c r="B734" s="200"/>
      <c r="C734" s="20"/>
      <c r="D734" s="20"/>
      <c r="E734" s="20"/>
      <c r="F734" s="20"/>
      <c r="G734" s="12"/>
      <c r="H734" s="12">
        <f>'[1]Приложение на 2025 (2)'!$G$53</f>
        <v>25014506.351499997</v>
      </c>
      <c r="I734" s="12">
        <f>'[1]Приложение на 2025 (2)'!$H$53</f>
        <v>53863032.033500001</v>
      </c>
      <c r="J734" s="201"/>
      <c r="K734" s="61"/>
      <c r="L734" s="61"/>
      <c r="M734" s="61"/>
      <c r="N734" s="61"/>
      <c r="O734" s="61"/>
      <c r="P734" s="61"/>
      <c r="Q734" s="61"/>
      <c r="R734" s="61"/>
    </row>
    <row r="735" spans="1:18" s="22" customFormat="1" ht="21" customHeight="1" x14ac:dyDescent="0.25">
      <c r="A735" s="243" t="s">
        <v>231</v>
      </c>
      <c r="B735" s="232"/>
      <c r="C735" s="232"/>
      <c r="D735" s="232"/>
      <c r="E735" s="232"/>
      <c r="F735" s="232"/>
      <c r="G735" s="233">
        <f>G125+G163+G348+G379+G698+G723+G733+G734</f>
        <v>2384814226.8899999</v>
      </c>
      <c r="H735" s="233">
        <f>H125+H163+H348+H379+H698+H723+H733+H734</f>
        <v>2473657532.3715005</v>
      </c>
      <c r="I735" s="233">
        <f>I125+I163+I348+I379+I698+I723+I733+I734</f>
        <v>2109792879.5834997</v>
      </c>
      <c r="J735" s="148"/>
      <c r="K735" s="159"/>
      <c r="L735" s="159"/>
      <c r="M735" s="159"/>
      <c r="N735" s="159"/>
      <c r="O735" s="158"/>
      <c r="P735" s="158"/>
      <c r="Q735" s="158"/>
      <c r="R735" s="158"/>
    </row>
    <row r="736" spans="1:18" x14ac:dyDescent="0.25">
      <c r="A736" s="84"/>
      <c r="B736" s="197"/>
      <c r="C736" s="197"/>
      <c r="D736" s="197"/>
      <c r="E736" s="197"/>
      <c r="F736" s="197"/>
      <c r="G736" s="83"/>
      <c r="H736" s="83"/>
      <c r="I736" s="83"/>
      <c r="K736" s="158"/>
      <c r="L736" s="158"/>
    </row>
    <row r="737" spans="1:15" x14ac:dyDescent="0.25">
      <c r="A737" s="84"/>
      <c r="B737" s="197"/>
      <c r="C737" s="197"/>
      <c r="D737" s="197"/>
      <c r="E737" s="197"/>
      <c r="F737" s="197"/>
      <c r="G737" s="83">
        <f>G735-G734</f>
        <v>2384814226.8899999</v>
      </c>
      <c r="H737" s="83">
        <f>H735-H734</f>
        <v>2448643026.0200005</v>
      </c>
      <c r="I737" s="83">
        <f>I735-I734</f>
        <v>2055929847.5499997</v>
      </c>
      <c r="K737" s="158"/>
      <c r="L737" s="158"/>
    </row>
    <row r="738" spans="1:15" x14ac:dyDescent="0.25">
      <c r="K738" s="158"/>
      <c r="L738" s="158"/>
    </row>
    <row r="741" spans="1:15" x14ac:dyDescent="0.25">
      <c r="F741" s="59" t="s">
        <v>484</v>
      </c>
      <c r="G741" s="60">
        <f>G735</f>
        <v>2384814226.8899999</v>
      </c>
      <c r="H741" s="60">
        <f t="shared" ref="H741:I741" si="299">H735</f>
        <v>2473657532.3715005</v>
      </c>
      <c r="I741" s="60">
        <f t="shared" si="299"/>
        <v>2109792879.5834997</v>
      </c>
      <c r="N741" s="160"/>
      <c r="O741" s="160">
        <f>O125+O348+O698</f>
        <v>659600504.80999994</v>
      </c>
    </row>
    <row r="742" spans="1:15" x14ac:dyDescent="0.25">
      <c r="F742" s="59" t="s">
        <v>485</v>
      </c>
      <c r="G742" s="60">
        <f>G741-'прил3 '!F53</f>
        <v>0</v>
      </c>
      <c r="H742" s="60">
        <f>H741-'прил3 '!G53</f>
        <v>0</v>
      </c>
      <c r="I742" s="60">
        <f>I741-'прил3 '!H53</f>
        <v>0</v>
      </c>
    </row>
    <row r="743" spans="1:15" x14ac:dyDescent="0.25">
      <c r="F743" s="59" t="s">
        <v>486</v>
      </c>
      <c r="G743" s="60">
        <f>G741-'прил 5'!G559</f>
        <v>0</v>
      </c>
      <c r="H743" s="60">
        <f>H741-'прил 5'!H559</f>
        <v>0</v>
      </c>
      <c r="I743" s="60">
        <f>I741-'прил 5'!I559</f>
        <v>0</v>
      </c>
    </row>
    <row r="748" spans="1:15" x14ac:dyDescent="0.25">
      <c r="B748" s="1"/>
    </row>
  </sheetData>
  <mergeCells count="14">
    <mergeCell ref="F1:H1"/>
    <mergeCell ref="F2:H2"/>
    <mergeCell ref="J266:K266"/>
    <mergeCell ref="A4:A6"/>
    <mergeCell ref="D4:D6"/>
    <mergeCell ref="C4:C6"/>
    <mergeCell ref="B4:B6"/>
    <mergeCell ref="A3:I3"/>
    <mergeCell ref="H5:H6"/>
    <mergeCell ref="I5:I6"/>
    <mergeCell ref="G4:I4"/>
    <mergeCell ref="F4:F6"/>
    <mergeCell ref="E4:E6"/>
    <mergeCell ref="G5:G6"/>
  </mergeCells>
  <phoneticPr fontId="0" type="noConversion"/>
  <pageMargins left="0.82677165354330717" right="0.27559055118110237" top="0.23622047244094491" bottom="0.23622047244094491" header="0.19685039370078741" footer="0.19685039370078741"/>
  <pageSetup paperSize="9" scale="54" fitToHeight="3" orientation="portrait" r:id="rId1"/>
  <rowBreaks count="1" manualBreakCount="1">
    <brk id="675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9"/>
  <sheetViews>
    <sheetView topLeftCell="A384" zoomScale="91" zoomScaleNormal="91" zoomScaleSheetLayoutView="100" workbookViewId="0">
      <selection activeCell="G391" sqref="G391"/>
    </sheetView>
  </sheetViews>
  <sheetFormatPr defaultColWidth="9.109375" defaultRowHeight="13.2" x14ac:dyDescent="0.25"/>
  <cols>
    <col min="1" max="1" width="56.109375" style="1" customWidth="1"/>
    <col min="2" max="2" width="6.88671875" style="59" hidden="1" customWidth="1"/>
    <col min="3" max="3" width="4.5546875" style="59" hidden="1" customWidth="1"/>
    <col min="4" max="4" width="4.6640625" style="59" hidden="1" customWidth="1"/>
    <col min="5" max="5" width="20.44140625" style="59" customWidth="1"/>
    <col min="6" max="6" width="9.88671875" style="59" customWidth="1"/>
    <col min="7" max="7" width="26.33203125" style="83" customWidth="1"/>
    <col min="8" max="8" width="21.5546875" style="83" customWidth="1"/>
    <col min="9" max="9" width="29" style="83" customWidth="1"/>
    <col min="10" max="10" width="11.44140625" style="2" hidden="1" customWidth="1"/>
    <col min="11" max="12" width="13.88671875" style="1" hidden="1" customWidth="1"/>
    <col min="13" max="13" width="11.6640625" style="1" hidden="1" customWidth="1"/>
    <col min="14" max="15" width="0" style="1" hidden="1" customWidth="1"/>
    <col min="16" max="16" width="13.88671875" style="2" hidden="1" customWidth="1"/>
    <col min="17" max="17" width="16.109375" style="2" hidden="1" customWidth="1"/>
    <col min="18" max="18" width="14.6640625" style="2" hidden="1" customWidth="1"/>
    <col min="19" max="19" width="13.44140625" style="2" hidden="1" customWidth="1"/>
    <col min="20" max="20" width="17.88671875" style="2" hidden="1" customWidth="1"/>
    <col min="21" max="21" width="13.88671875" style="1" hidden="1" customWidth="1"/>
    <col min="22" max="22" width="20.88671875" style="1" customWidth="1"/>
    <col min="23" max="16384" width="9.109375" style="1"/>
  </cols>
  <sheetData>
    <row r="1" spans="1:22" customFormat="1" ht="19.5" customHeight="1" x14ac:dyDescent="0.25">
      <c r="B1" s="62"/>
      <c r="C1" s="65"/>
      <c r="D1" s="65"/>
      <c r="E1" s="198" t="s">
        <v>324</v>
      </c>
      <c r="F1" s="198"/>
      <c r="G1" s="198"/>
      <c r="H1" s="198"/>
      <c r="I1" s="198"/>
      <c r="J1" s="198"/>
      <c r="K1" s="198"/>
    </row>
    <row r="2" spans="1:22" ht="20.25" customHeight="1" x14ac:dyDescent="0.25">
      <c r="B2" s="225"/>
      <c r="C2" s="225"/>
      <c r="D2" s="225"/>
      <c r="E2" s="308"/>
      <c r="F2" s="308"/>
      <c r="G2" s="308"/>
      <c r="H2" s="314" t="s">
        <v>419</v>
      </c>
      <c r="I2" s="314"/>
    </row>
    <row r="3" spans="1:22" ht="35.25" customHeight="1" x14ac:dyDescent="0.25">
      <c r="B3" s="225"/>
      <c r="C3" s="225"/>
      <c r="D3" s="225"/>
      <c r="E3" s="299"/>
      <c r="F3" s="300"/>
      <c r="G3" s="300"/>
      <c r="H3" s="315" t="s">
        <v>479</v>
      </c>
      <c r="I3" s="315"/>
    </row>
    <row r="4" spans="1:22" ht="61.5" customHeight="1" x14ac:dyDescent="0.25">
      <c r="A4" s="317" t="s">
        <v>483</v>
      </c>
      <c r="B4" s="317"/>
      <c r="C4" s="317"/>
      <c r="D4" s="317"/>
      <c r="E4" s="317"/>
      <c r="F4" s="317"/>
      <c r="G4" s="317"/>
      <c r="H4" s="318"/>
      <c r="I4" s="318"/>
    </row>
    <row r="5" spans="1:22" ht="14.25" customHeight="1" x14ac:dyDescent="0.25">
      <c r="A5" s="311" t="s">
        <v>3</v>
      </c>
      <c r="B5" s="94"/>
      <c r="C5" s="94"/>
      <c r="D5" s="94"/>
      <c r="E5" s="313" t="s">
        <v>7</v>
      </c>
      <c r="F5" s="313" t="s">
        <v>8</v>
      </c>
      <c r="G5" s="321" t="s">
        <v>232</v>
      </c>
      <c r="H5" s="316"/>
      <c r="I5" s="316"/>
    </row>
    <row r="6" spans="1:22" s="3" customFormat="1" ht="23.25" customHeight="1" x14ac:dyDescent="0.25">
      <c r="A6" s="316"/>
      <c r="B6" s="313" t="s">
        <v>4</v>
      </c>
      <c r="C6" s="313" t="s">
        <v>5</v>
      </c>
      <c r="D6" s="313" t="s">
        <v>6</v>
      </c>
      <c r="E6" s="312"/>
      <c r="F6" s="312"/>
      <c r="G6" s="319" t="s">
        <v>354</v>
      </c>
      <c r="H6" s="319" t="s">
        <v>472</v>
      </c>
      <c r="I6" s="319" t="s">
        <v>481</v>
      </c>
      <c r="J6" s="99"/>
      <c r="K6" s="84"/>
      <c r="P6" s="99"/>
      <c r="Q6" s="99"/>
      <c r="R6" s="99"/>
      <c r="S6" s="99"/>
      <c r="T6" s="99"/>
    </row>
    <row r="7" spans="1:22" s="3" customFormat="1" ht="69.75" customHeight="1" x14ac:dyDescent="0.25">
      <c r="A7" s="316"/>
      <c r="B7" s="320"/>
      <c r="C7" s="320"/>
      <c r="D7" s="320"/>
      <c r="E7" s="312"/>
      <c r="F7" s="312"/>
      <c r="G7" s="306"/>
      <c r="H7" s="306"/>
      <c r="I7" s="306"/>
      <c r="J7" s="99"/>
      <c r="P7" s="99"/>
      <c r="Q7" s="99"/>
      <c r="R7" s="99"/>
      <c r="S7" s="99"/>
      <c r="T7" s="99"/>
    </row>
    <row r="8" spans="1:22" s="3" customFormat="1" x14ac:dyDescent="0.25">
      <c r="A8" s="4">
        <v>1</v>
      </c>
      <c r="B8" s="4">
        <v>2</v>
      </c>
      <c r="C8" s="4">
        <v>3</v>
      </c>
      <c r="D8" s="4">
        <v>4</v>
      </c>
      <c r="E8" s="4">
        <v>2</v>
      </c>
      <c r="F8" s="4">
        <v>3</v>
      </c>
      <c r="G8" s="85">
        <v>4</v>
      </c>
      <c r="H8" s="85">
        <v>5</v>
      </c>
      <c r="I8" s="85">
        <v>6</v>
      </c>
      <c r="J8" s="99"/>
      <c r="P8" s="99"/>
      <c r="Q8" s="99"/>
      <c r="R8" s="99"/>
      <c r="S8" s="99"/>
      <c r="T8" s="99"/>
    </row>
    <row r="9" spans="1:22" s="73" customFormat="1" ht="42" customHeight="1" x14ac:dyDescent="0.3">
      <c r="A9" s="255" t="s">
        <v>72</v>
      </c>
      <c r="B9" s="256"/>
      <c r="C9" s="256"/>
      <c r="D9" s="256"/>
      <c r="E9" s="256"/>
      <c r="F9" s="256"/>
      <c r="G9" s="257">
        <f>G11+G15+G34+G54+G76+G91+G108+G214+G218+G221+G238+G327+G331+G335+G339+G343+G349+G362+G381+G388+G419+G449+G83+G445</f>
        <v>2237109704.77</v>
      </c>
      <c r="H9" s="257">
        <f>H11+H15+H34+H54+H76+H91+H108+H214+H218+H221+H238+H327+H331+H335+H339+H343+H349+H362+H381+H388+H419+H449+H83+H445</f>
        <v>2298262985.04</v>
      </c>
      <c r="I9" s="257">
        <f>I11+I15+I34+I54+I76+I91+I108+I214+I218+I221+I238+I327+I331+I335+I339+I343+I349+I362+I381+I388+I419+I449+I83+I445</f>
        <v>1903790084.9599998</v>
      </c>
      <c r="J9" s="100"/>
      <c r="P9" s="100"/>
      <c r="Q9" s="100"/>
      <c r="R9" s="100"/>
      <c r="S9" s="100"/>
      <c r="T9" s="100"/>
    </row>
    <row r="10" spans="1:22" s="3" customFormat="1" x14ac:dyDescent="0.25">
      <c r="A10" s="4"/>
      <c r="B10" s="4"/>
      <c r="C10" s="4"/>
      <c r="D10" s="4"/>
      <c r="E10" s="4"/>
      <c r="F10" s="4"/>
      <c r="G10" s="85"/>
      <c r="H10" s="85"/>
      <c r="I10" s="85"/>
      <c r="J10" s="99"/>
      <c r="P10" s="99"/>
      <c r="Q10" s="99"/>
      <c r="R10" s="99"/>
      <c r="S10" s="99"/>
      <c r="T10" s="99"/>
    </row>
    <row r="11" spans="1:22" s="73" customFormat="1" ht="33" customHeight="1" x14ac:dyDescent="0.3">
      <c r="A11" s="96" t="s">
        <v>357</v>
      </c>
      <c r="B11" s="251"/>
      <c r="C11" s="251"/>
      <c r="D11" s="251"/>
      <c r="E11" s="35" t="s">
        <v>73</v>
      </c>
      <c r="F11" s="244"/>
      <c r="G11" s="247">
        <f>G12</f>
        <v>3670531.2</v>
      </c>
      <c r="H11" s="247">
        <f t="shared" ref="H11:I11" si="0">H12</f>
        <v>0</v>
      </c>
      <c r="I11" s="247">
        <f t="shared" si="0"/>
        <v>0</v>
      </c>
      <c r="J11" s="100">
        <v>2271304</v>
      </c>
      <c r="P11" s="100"/>
      <c r="Q11" s="100"/>
      <c r="R11" s="100"/>
      <c r="S11" s="100"/>
      <c r="T11" s="100">
        <f>прил4.!G115</f>
        <v>3670531.2</v>
      </c>
    </row>
    <row r="12" spans="1:22" ht="33" customHeight="1" x14ac:dyDescent="0.25">
      <c r="A12" s="16" t="s">
        <v>106</v>
      </c>
      <c r="B12" s="14">
        <v>757</v>
      </c>
      <c r="C12" s="15" t="s">
        <v>48</v>
      </c>
      <c r="D12" s="15" t="s">
        <v>49</v>
      </c>
      <c r="E12" s="15" t="s">
        <v>242</v>
      </c>
      <c r="F12" s="15"/>
      <c r="G12" s="70">
        <f t="shared" ref="G12:I13" si="1">G13</f>
        <v>3670531.2</v>
      </c>
      <c r="H12" s="70">
        <f t="shared" si="1"/>
        <v>0</v>
      </c>
      <c r="I12" s="70">
        <f t="shared" si="1"/>
        <v>0</v>
      </c>
      <c r="V12" s="2"/>
    </row>
    <row r="13" spans="1:22" ht="33" customHeight="1" x14ac:dyDescent="0.25">
      <c r="A13" s="16" t="s">
        <v>86</v>
      </c>
      <c r="B13" s="14">
        <v>757</v>
      </c>
      <c r="C13" s="15" t="s">
        <v>48</v>
      </c>
      <c r="D13" s="15" t="s">
        <v>49</v>
      </c>
      <c r="E13" s="15" t="s">
        <v>242</v>
      </c>
      <c r="F13" s="15" t="s">
        <v>87</v>
      </c>
      <c r="G13" s="70">
        <f t="shared" si="1"/>
        <v>3670531.2</v>
      </c>
      <c r="H13" s="70">
        <f t="shared" si="1"/>
        <v>0</v>
      </c>
      <c r="I13" s="70">
        <f t="shared" si="1"/>
        <v>0</v>
      </c>
    </row>
    <row r="14" spans="1:22" ht="33" customHeight="1" x14ac:dyDescent="0.25">
      <c r="A14" s="16" t="s">
        <v>88</v>
      </c>
      <c r="B14" s="14">
        <v>757</v>
      </c>
      <c r="C14" s="15" t="s">
        <v>48</v>
      </c>
      <c r="D14" s="15" t="s">
        <v>49</v>
      </c>
      <c r="E14" s="15" t="s">
        <v>242</v>
      </c>
      <c r="F14" s="15" t="s">
        <v>89</v>
      </c>
      <c r="G14" s="70">
        <f>прил4.!G118</f>
        <v>3670531.2</v>
      </c>
      <c r="H14" s="70">
        <f>прил4.!H118</f>
        <v>0</v>
      </c>
      <c r="I14" s="70">
        <f>прил4.!I118</f>
        <v>0</v>
      </c>
    </row>
    <row r="15" spans="1:22" s="173" customFormat="1" ht="60" customHeight="1" x14ac:dyDescent="0.25">
      <c r="A15" s="96" t="s">
        <v>356</v>
      </c>
      <c r="B15" s="35">
        <v>793</v>
      </c>
      <c r="C15" s="36" t="s">
        <v>10</v>
      </c>
      <c r="D15" s="36" t="s">
        <v>14</v>
      </c>
      <c r="E15" s="35" t="s">
        <v>156</v>
      </c>
      <c r="F15" s="36"/>
      <c r="G15" s="71">
        <f>G16+G19+G22+G25+G28+G31</f>
        <v>676310.48</v>
      </c>
      <c r="H15" s="71">
        <f t="shared" ref="H15:I15" si="2">H16+H19+H22+H25+H28+H31</f>
        <v>35000</v>
      </c>
      <c r="I15" s="71">
        <f t="shared" si="2"/>
        <v>35000</v>
      </c>
      <c r="J15" s="172">
        <v>465200</v>
      </c>
      <c r="P15" s="172"/>
      <c r="Q15" s="172"/>
      <c r="R15" s="172"/>
      <c r="S15" s="172"/>
      <c r="T15" s="172">
        <f>прил4.!G442</f>
        <v>676310.48</v>
      </c>
    </row>
    <row r="16" spans="1:22" s="33" customFormat="1" ht="27.75" customHeight="1" x14ac:dyDescent="0.25">
      <c r="A16" s="78" t="s">
        <v>107</v>
      </c>
      <c r="B16" s="14">
        <v>793</v>
      </c>
      <c r="C16" s="15" t="s">
        <v>10</v>
      </c>
      <c r="D16" s="15" t="s">
        <v>14</v>
      </c>
      <c r="E16" s="15" t="s">
        <v>236</v>
      </c>
      <c r="F16" s="15"/>
      <c r="G16" s="81">
        <f t="shared" ref="G16:I17" si="3">G17</f>
        <v>0</v>
      </c>
      <c r="H16" s="81">
        <f t="shared" si="3"/>
        <v>0</v>
      </c>
      <c r="I16" s="81">
        <f t="shared" si="3"/>
        <v>0</v>
      </c>
      <c r="J16" s="101"/>
      <c r="P16" s="101"/>
      <c r="Q16" s="101"/>
      <c r="R16" s="101"/>
      <c r="S16" s="101"/>
      <c r="T16" s="101"/>
    </row>
    <row r="17" spans="1:20" s="33" customFormat="1" ht="28.5" customHeight="1" x14ac:dyDescent="0.25">
      <c r="A17" s="78" t="s">
        <v>21</v>
      </c>
      <c r="B17" s="14">
        <v>793</v>
      </c>
      <c r="C17" s="15" t="s">
        <v>10</v>
      </c>
      <c r="D17" s="15" t="s">
        <v>14</v>
      </c>
      <c r="E17" s="15" t="s">
        <v>236</v>
      </c>
      <c r="F17" s="15" t="s">
        <v>22</v>
      </c>
      <c r="G17" s="81">
        <f t="shared" si="3"/>
        <v>0</v>
      </c>
      <c r="H17" s="81">
        <f t="shared" si="3"/>
        <v>0</v>
      </c>
      <c r="I17" s="81">
        <f t="shared" si="3"/>
        <v>0</v>
      </c>
      <c r="J17" s="101"/>
      <c r="P17" s="101"/>
      <c r="Q17" s="101"/>
      <c r="R17" s="101"/>
      <c r="S17" s="101"/>
      <c r="T17" s="101"/>
    </row>
    <row r="18" spans="1:20" s="33" customFormat="1" ht="31.5" customHeight="1" x14ac:dyDescent="0.25">
      <c r="A18" s="78" t="s">
        <v>2</v>
      </c>
      <c r="B18" s="14">
        <v>793</v>
      </c>
      <c r="C18" s="15" t="s">
        <v>10</v>
      </c>
      <c r="D18" s="15" t="s">
        <v>14</v>
      </c>
      <c r="E18" s="15" t="s">
        <v>236</v>
      </c>
      <c r="F18" s="15" t="s">
        <v>1</v>
      </c>
      <c r="G18" s="81">
        <f>прил4.!G445</f>
        <v>0</v>
      </c>
      <c r="H18" s="81">
        <f>прил4.!H445</f>
        <v>0</v>
      </c>
      <c r="I18" s="81">
        <f>прил4.!I445</f>
        <v>0</v>
      </c>
      <c r="J18" s="101"/>
      <c r="P18" s="101"/>
      <c r="Q18" s="101"/>
      <c r="R18" s="101"/>
      <c r="S18" s="101"/>
      <c r="T18" s="101"/>
    </row>
    <row r="19" spans="1:20" ht="52.8" x14ac:dyDescent="0.25">
      <c r="A19" s="117" t="s">
        <v>433</v>
      </c>
      <c r="B19" s="14">
        <v>793</v>
      </c>
      <c r="C19" s="15" t="s">
        <v>10</v>
      </c>
      <c r="D19" s="15" t="s">
        <v>14</v>
      </c>
      <c r="E19" s="15" t="s">
        <v>237</v>
      </c>
      <c r="F19" s="15"/>
      <c r="G19" s="81">
        <f>G20</f>
        <v>0</v>
      </c>
      <c r="H19" s="81">
        <f t="shared" ref="H19:I19" si="4">H20</f>
        <v>0</v>
      </c>
      <c r="I19" s="81">
        <f t="shared" si="4"/>
        <v>0</v>
      </c>
      <c r="J19" s="2">
        <v>70000</v>
      </c>
    </row>
    <row r="20" spans="1:20" ht="16.5" customHeight="1" x14ac:dyDescent="0.25">
      <c r="A20" s="78" t="s">
        <v>43</v>
      </c>
      <c r="B20" s="14">
        <v>793</v>
      </c>
      <c r="C20" s="15" t="s">
        <v>10</v>
      </c>
      <c r="D20" s="15" t="s">
        <v>14</v>
      </c>
      <c r="E20" s="15" t="s">
        <v>237</v>
      </c>
      <c r="F20" s="15" t="s">
        <v>44</v>
      </c>
      <c r="G20" s="70">
        <f>G21</f>
        <v>0</v>
      </c>
      <c r="H20" s="70">
        <f t="shared" ref="H20:I20" si="5">H21</f>
        <v>0</v>
      </c>
      <c r="I20" s="70">
        <f t="shared" si="5"/>
        <v>0</v>
      </c>
      <c r="J20" s="1"/>
    </row>
    <row r="21" spans="1:20" ht="17.25" customHeight="1" x14ac:dyDescent="0.25">
      <c r="A21" s="78" t="s">
        <v>101</v>
      </c>
      <c r="B21" s="14">
        <v>793</v>
      </c>
      <c r="C21" s="15" t="s">
        <v>10</v>
      </c>
      <c r="D21" s="15" t="s">
        <v>14</v>
      </c>
      <c r="E21" s="15" t="s">
        <v>237</v>
      </c>
      <c r="F21" s="15" t="s">
        <v>102</v>
      </c>
      <c r="G21" s="70">
        <f>прил4.!G448</f>
        <v>0</v>
      </c>
      <c r="H21" s="70">
        <f>прил4.!H448</f>
        <v>0</v>
      </c>
      <c r="I21" s="70">
        <f>прил4.!I448</f>
        <v>0</v>
      </c>
      <c r="J21" s="1"/>
    </row>
    <row r="22" spans="1:20" ht="25.5" customHeight="1" x14ac:dyDescent="0.25">
      <c r="A22" s="16" t="s">
        <v>457</v>
      </c>
      <c r="B22" s="14">
        <v>793</v>
      </c>
      <c r="C22" s="15" t="s">
        <v>10</v>
      </c>
      <c r="D22" s="15" t="s">
        <v>14</v>
      </c>
      <c r="E22" s="15" t="s">
        <v>458</v>
      </c>
      <c r="F22" s="15"/>
      <c r="G22" s="70">
        <f>G23</f>
        <v>0</v>
      </c>
      <c r="H22" s="70">
        <f t="shared" ref="H22:I22" si="6">H23</f>
        <v>0</v>
      </c>
      <c r="I22" s="70">
        <f t="shared" si="6"/>
        <v>0</v>
      </c>
      <c r="J22" s="136"/>
      <c r="K22" s="69"/>
      <c r="L22" s="69"/>
      <c r="M22" s="69"/>
      <c r="N22" s="69"/>
      <c r="O22" s="69"/>
      <c r="P22" s="69"/>
      <c r="Q22" s="69"/>
      <c r="R22" s="69"/>
      <c r="S22" s="1"/>
      <c r="T22" s="1"/>
    </row>
    <row r="23" spans="1:20" ht="18.75" customHeight="1" x14ac:dyDescent="0.25">
      <c r="A23" s="16" t="s">
        <v>43</v>
      </c>
      <c r="B23" s="14">
        <v>793</v>
      </c>
      <c r="C23" s="15" t="s">
        <v>10</v>
      </c>
      <c r="D23" s="15" t="s">
        <v>14</v>
      </c>
      <c r="E23" s="15" t="s">
        <v>458</v>
      </c>
      <c r="F23" s="15" t="s">
        <v>44</v>
      </c>
      <c r="G23" s="70">
        <f>G24</f>
        <v>0</v>
      </c>
      <c r="H23" s="70">
        <f t="shared" ref="H23:I23" si="7">H24</f>
        <v>0</v>
      </c>
      <c r="I23" s="70">
        <f t="shared" si="7"/>
        <v>0</v>
      </c>
      <c r="J23" s="136"/>
      <c r="K23" s="69"/>
      <c r="L23" s="69"/>
      <c r="M23" s="69"/>
      <c r="N23" s="69"/>
      <c r="O23" s="69"/>
      <c r="P23" s="69"/>
      <c r="Q23" s="69"/>
      <c r="R23" s="69"/>
      <c r="S23" s="1"/>
      <c r="T23" s="1"/>
    </row>
    <row r="24" spans="1:20" ht="19.5" customHeight="1" x14ac:dyDescent="0.25">
      <c r="A24" s="16" t="s">
        <v>101</v>
      </c>
      <c r="B24" s="14">
        <v>793</v>
      </c>
      <c r="C24" s="15" t="s">
        <v>10</v>
      </c>
      <c r="D24" s="15" t="s">
        <v>14</v>
      </c>
      <c r="E24" s="15" t="s">
        <v>458</v>
      </c>
      <c r="F24" s="15" t="s">
        <v>102</v>
      </c>
      <c r="G24" s="70">
        <f>прил4.!G457</f>
        <v>0</v>
      </c>
      <c r="H24" s="70">
        <f>прил4.!H457</f>
        <v>0</v>
      </c>
      <c r="I24" s="70">
        <f>прил4.!I457</f>
        <v>0</v>
      </c>
      <c r="J24" s="136"/>
      <c r="K24" s="69"/>
      <c r="L24" s="69"/>
      <c r="M24" s="69"/>
      <c r="N24" s="69"/>
      <c r="O24" s="69"/>
      <c r="P24" s="69"/>
      <c r="Q24" s="69"/>
      <c r="R24" s="69"/>
      <c r="S24" s="1"/>
      <c r="T24" s="1"/>
    </row>
    <row r="25" spans="1:20" ht="25.5" customHeight="1" x14ac:dyDescent="0.25">
      <c r="A25" s="16" t="s">
        <v>460</v>
      </c>
      <c r="B25" s="14">
        <v>793</v>
      </c>
      <c r="C25" s="15" t="s">
        <v>10</v>
      </c>
      <c r="D25" s="15" t="s">
        <v>14</v>
      </c>
      <c r="E25" s="15" t="s">
        <v>459</v>
      </c>
      <c r="F25" s="15"/>
      <c r="G25" s="70">
        <f>G26</f>
        <v>641310.48</v>
      </c>
      <c r="H25" s="70">
        <f t="shared" ref="H25:I25" si="8">H26</f>
        <v>0</v>
      </c>
      <c r="I25" s="70">
        <f t="shared" si="8"/>
        <v>0</v>
      </c>
      <c r="J25" s="136"/>
      <c r="K25" s="69"/>
      <c r="L25" s="69"/>
      <c r="M25" s="69"/>
      <c r="N25" s="69"/>
      <c r="O25" s="69"/>
      <c r="P25" s="69"/>
      <c r="Q25" s="69"/>
      <c r="R25" s="69"/>
      <c r="S25" s="1"/>
      <c r="T25" s="1"/>
    </row>
    <row r="26" spans="1:20" ht="18.75" customHeight="1" x14ac:dyDescent="0.25">
      <c r="A26" s="16" t="s">
        <v>43</v>
      </c>
      <c r="B26" s="14">
        <v>793</v>
      </c>
      <c r="C26" s="15" t="s">
        <v>10</v>
      </c>
      <c r="D26" s="15" t="s">
        <v>14</v>
      </c>
      <c r="E26" s="15" t="s">
        <v>459</v>
      </c>
      <c r="F26" s="15" t="s">
        <v>44</v>
      </c>
      <c r="G26" s="70">
        <f>G27</f>
        <v>641310.48</v>
      </c>
      <c r="H26" s="70">
        <f t="shared" ref="H26:I26" si="9">H27</f>
        <v>0</v>
      </c>
      <c r="I26" s="70">
        <f t="shared" si="9"/>
        <v>0</v>
      </c>
      <c r="J26" s="136"/>
      <c r="K26" s="69"/>
      <c r="L26" s="69"/>
      <c r="M26" s="69"/>
      <c r="N26" s="69"/>
      <c r="O26" s="69"/>
      <c r="P26" s="69"/>
      <c r="Q26" s="69"/>
      <c r="R26" s="69"/>
      <c r="S26" s="1"/>
      <c r="T26" s="1"/>
    </row>
    <row r="27" spans="1:20" ht="19.5" customHeight="1" x14ac:dyDescent="0.25">
      <c r="A27" s="16" t="s">
        <v>101</v>
      </c>
      <c r="B27" s="14">
        <v>793</v>
      </c>
      <c r="C27" s="15" t="s">
        <v>10</v>
      </c>
      <c r="D27" s="15" t="s">
        <v>14</v>
      </c>
      <c r="E27" s="15" t="s">
        <v>459</v>
      </c>
      <c r="F27" s="15" t="s">
        <v>102</v>
      </c>
      <c r="G27" s="70">
        <f>прил4.!G460</f>
        <v>641310.48</v>
      </c>
      <c r="H27" s="70">
        <f>прил4.!H460</f>
        <v>0</v>
      </c>
      <c r="I27" s="70">
        <f>прил4.!I460</f>
        <v>0</v>
      </c>
      <c r="J27" s="136"/>
      <c r="K27" s="69"/>
      <c r="L27" s="69"/>
      <c r="M27" s="69"/>
      <c r="N27" s="69"/>
      <c r="O27" s="69"/>
      <c r="P27" s="69"/>
      <c r="Q27" s="69"/>
      <c r="R27" s="69"/>
      <c r="S27" s="1"/>
      <c r="T27" s="1"/>
    </row>
    <row r="28" spans="1:20" ht="31.5" customHeight="1" x14ac:dyDescent="0.25">
      <c r="A28" s="16" t="s">
        <v>77</v>
      </c>
      <c r="B28" s="14">
        <v>793</v>
      </c>
      <c r="C28" s="15" t="s">
        <v>10</v>
      </c>
      <c r="D28" s="15" t="s">
        <v>14</v>
      </c>
      <c r="E28" s="15" t="s">
        <v>157</v>
      </c>
      <c r="F28" s="15"/>
      <c r="G28" s="81">
        <f>G29</f>
        <v>35000</v>
      </c>
      <c r="H28" s="81">
        <f t="shared" ref="H28:I28" si="10">H29</f>
        <v>35000</v>
      </c>
      <c r="I28" s="81">
        <f t="shared" si="10"/>
        <v>35000</v>
      </c>
      <c r="J28" s="2">
        <v>50000</v>
      </c>
    </row>
    <row r="29" spans="1:20" ht="25.5" customHeight="1" x14ac:dyDescent="0.25">
      <c r="A29" s="16" t="s">
        <v>43</v>
      </c>
      <c r="B29" s="14">
        <v>793</v>
      </c>
      <c r="C29" s="15" t="s">
        <v>10</v>
      </c>
      <c r="D29" s="15" t="s">
        <v>14</v>
      </c>
      <c r="E29" s="15" t="s">
        <v>157</v>
      </c>
      <c r="F29" s="15" t="s">
        <v>44</v>
      </c>
      <c r="G29" s="81">
        <f>G30</f>
        <v>35000</v>
      </c>
      <c r="H29" s="81">
        <f>H30</f>
        <v>35000</v>
      </c>
      <c r="I29" s="81">
        <f>I30</f>
        <v>35000</v>
      </c>
    </row>
    <row r="30" spans="1:20" ht="25.5" customHeight="1" x14ac:dyDescent="0.25">
      <c r="A30" s="16" t="s">
        <v>83</v>
      </c>
      <c r="B30" s="14">
        <v>793</v>
      </c>
      <c r="C30" s="15" t="s">
        <v>10</v>
      </c>
      <c r="D30" s="15" t="s">
        <v>14</v>
      </c>
      <c r="E30" s="15" t="s">
        <v>157</v>
      </c>
      <c r="F30" s="15" t="s">
        <v>46</v>
      </c>
      <c r="G30" s="81">
        <f>прил4.!G451</f>
        <v>35000</v>
      </c>
      <c r="H30" s="81">
        <f>прил4.!H451</f>
        <v>35000</v>
      </c>
      <c r="I30" s="81">
        <f>прил4.!I451</f>
        <v>35000</v>
      </c>
    </row>
    <row r="31" spans="1:20" ht="25.5" hidden="1" customHeight="1" x14ac:dyDescent="0.25">
      <c r="A31" s="16" t="s">
        <v>248</v>
      </c>
      <c r="B31" s="14">
        <v>793</v>
      </c>
      <c r="C31" s="15" t="s">
        <v>10</v>
      </c>
      <c r="D31" s="15" t="s">
        <v>14</v>
      </c>
      <c r="E31" s="15" t="s">
        <v>249</v>
      </c>
      <c r="F31" s="15"/>
      <c r="G31" s="70">
        <f t="shared" ref="G31:I32" si="11">G32</f>
        <v>0</v>
      </c>
      <c r="H31" s="70">
        <f t="shared" si="11"/>
        <v>0</v>
      </c>
      <c r="I31" s="70">
        <f t="shared" si="11"/>
        <v>0</v>
      </c>
    </row>
    <row r="32" spans="1:20" ht="25.5" hidden="1" customHeight="1" x14ac:dyDescent="0.25">
      <c r="A32" s="16" t="s">
        <v>199</v>
      </c>
      <c r="B32" s="14">
        <v>793</v>
      </c>
      <c r="C32" s="15" t="s">
        <v>10</v>
      </c>
      <c r="D32" s="15" t="s">
        <v>14</v>
      </c>
      <c r="E32" s="15" t="s">
        <v>249</v>
      </c>
      <c r="F32" s="15" t="s">
        <v>26</v>
      </c>
      <c r="G32" s="70">
        <f t="shared" si="11"/>
        <v>0</v>
      </c>
      <c r="H32" s="70">
        <f t="shared" si="11"/>
        <v>0</v>
      </c>
      <c r="I32" s="70">
        <f t="shared" si="11"/>
        <v>0</v>
      </c>
    </row>
    <row r="33" spans="1:21" ht="32.25" hidden="1" customHeight="1" x14ac:dyDescent="0.25">
      <c r="A33" s="16" t="s">
        <v>27</v>
      </c>
      <c r="B33" s="14">
        <v>793</v>
      </c>
      <c r="C33" s="15" t="s">
        <v>10</v>
      </c>
      <c r="D33" s="15" t="s">
        <v>14</v>
      </c>
      <c r="E33" s="15" t="s">
        <v>249</v>
      </c>
      <c r="F33" s="15" t="s">
        <v>28</v>
      </c>
      <c r="G33" s="70">
        <f>прил4.!G454</f>
        <v>0</v>
      </c>
      <c r="H33" s="70">
        <f>прил4.!H454</f>
        <v>0</v>
      </c>
      <c r="I33" s="70">
        <f>прил4.!I454</f>
        <v>0</v>
      </c>
    </row>
    <row r="34" spans="1:21" s="173" customFormat="1" ht="26.4" x14ac:dyDescent="0.25">
      <c r="A34" s="96" t="s">
        <v>358</v>
      </c>
      <c r="B34" s="35">
        <v>763</v>
      </c>
      <c r="C34" s="36" t="s">
        <v>10</v>
      </c>
      <c r="D34" s="36" t="s">
        <v>38</v>
      </c>
      <c r="E34" s="36" t="s">
        <v>124</v>
      </c>
      <c r="F34" s="74"/>
      <c r="G34" s="71">
        <f>G35+G38+G43+G48+G51</f>
        <v>24437197</v>
      </c>
      <c r="H34" s="71">
        <f t="shared" ref="H34:I34" si="12">H35+H38+H43+H48+H51</f>
        <v>23635924</v>
      </c>
      <c r="I34" s="71">
        <f t="shared" si="12"/>
        <v>23836638</v>
      </c>
      <c r="J34" s="172">
        <v>9155959</v>
      </c>
      <c r="L34" s="172">
        <f>G34+H34+I34-G38-H38-I38</f>
        <v>9205837</v>
      </c>
      <c r="P34" s="172"/>
      <c r="Q34" s="172"/>
      <c r="R34" s="172"/>
      <c r="S34" s="172"/>
      <c r="T34" s="172">
        <f>прил4.!G129+прил4.!G136+прил4.!G147</f>
        <v>24437197</v>
      </c>
      <c r="U34" s="172">
        <f>T34-G34</f>
        <v>0</v>
      </c>
    </row>
    <row r="35" spans="1:21" s="3" customFormat="1" ht="50.25" customHeight="1" x14ac:dyDescent="0.25">
      <c r="A35" s="78" t="s">
        <v>519</v>
      </c>
      <c r="B35" s="120">
        <v>757</v>
      </c>
      <c r="C35" s="79" t="s">
        <v>30</v>
      </c>
      <c r="D35" s="79" t="s">
        <v>10</v>
      </c>
      <c r="E35" s="79" t="s">
        <v>520</v>
      </c>
      <c r="F35" s="79"/>
      <c r="G35" s="81">
        <f t="shared" ref="G35:I36" si="13">G36</f>
        <v>1000000</v>
      </c>
      <c r="H35" s="81">
        <f t="shared" si="13"/>
        <v>0</v>
      </c>
      <c r="I35" s="81">
        <f t="shared" si="13"/>
        <v>0</v>
      </c>
      <c r="J35" s="137"/>
      <c r="K35" s="153"/>
      <c r="L35" s="153"/>
      <c r="M35" s="153"/>
      <c r="N35" s="153"/>
      <c r="O35" s="153"/>
      <c r="P35" s="153"/>
      <c r="Q35" s="153"/>
      <c r="R35" s="153"/>
    </row>
    <row r="36" spans="1:21" s="3" customFormat="1" ht="30.75" customHeight="1" x14ac:dyDescent="0.25">
      <c r="A36" s="16" t="s">
        <v>25</v>
      </c>
      <c r="B36" s="120">
        <v>757</v>
      </c>
      <c r="C36" s="79" t="s">
        <v>30</v>
      </c>
      <c r="D36" s="79" t="s">
        <v>10</v>
      </c>
      <c r="E36" s="79" t="s">
        <v>520</v>
      </c>
      <c r="F36" s="79" t="s">
        <v>26</v>
      </c>
      <c r="G36" s="81">
        <f t="shared" si="13"/>
        <v>1000000</v>
      </c>
      <c r="H36" s="81">
        <f t="shared" si="13"/>
        <v>0</v>
      </c>
      <c r="I36" s="81">
        <f t="shared" si="13"/>
        <v>0</v>
      </c>
      <c r="J36" s="137"/>
      <c r="K36" s="153"/>
      <c r="L36" s="153"/>
      <c r="M36" s="153"/>
      <c r="N36" s="153"/>
      <c r="O36" s="153"/>
      <c r="P36" s="153"/>
      <c r="Q36" s="153"/>
      <c r="R36" s="153"/>
    </row>
    <row r="37" spans="1:21" s="3" customFormat="1" ht="30.75" customHeight="1" x14ac:dyDescent="0.25">
      <c r="A37" s="16" t="s">
        <v>27</v>
      </c>
      <c r="B37" s="120">
        <v>757</v>
      </c>
      <c r="C37" s="79" t="s">
        <v>30</v>
      </c>
      <c r="D37" s="79" t="s">
        <v>10</v>
      </c>
      <c r="E37" s="79" t="s">
        <v>520</v>
      </c>
      <c r="F37" s="79" t="s">
        <v>28</v>
      </c>
      <c r="G37" s="81">
        <f>прил4.!G144</f>
        <v>1000000</v>
      </c>
      <c r="H37" s="81">
        <v>0</v>
      </c>
      <c r="I37" s="81">
        <v>0</v>
      </c>
      <c r="J37" s="137" t="e">
        <f>G37+#REF!</f>
        <v>#REF!</v>
      </c>
      <c r="K37" s="153"/>
      <c r="L37" s="153"/>
      <c r="M37" s="153"/>
      <c r="N37" s="153"/>
      <c r="O37" s="153"/>
      <c r="P37" s="153"/>
      <c r="Q37" s="153"/>
      <c r="R37" s="153"/>
    </row>
    <row r="38" spans="1:21" s="33" customFormat="1" ht="27" customHeight="1" x14ac:dyDescent="0.25">
      <c r="A38" s="16" t="s">
        <v>55</v>
      </c>
      <c r="B38" s="14">
        <v>763</v>
      </c>
      <c r="C38" s="15" t="s">
        <v>10</v>
      </c>
      <c r="D38" s="15" t="s">
        <v>38</v>
      </c>
      <c r="E38" s="15" t="s">
        <v>125</v>
      </c>
      <c r="F38" s="39"/>
      <c r="G38" s="81">
        <f>G39+G41</f>
        <v>20701918</v>
      </c>
      <c r="H38" s="81">
        <f t="shared" ref="H38:I38" si="14">H39+H41</f>
        <v>20900645</v>
      </c>
      <c r="I38" s="81">
        <f t="shared" si="14"/>
        <v>21101359</v>
      </c>
      <c r="J38" s="101">
        <v>567396</v>
      </c>
      <c r="P38" s="101"/>
      <c r="Q38" s="101"/>
      <c r="R38" s="101"/>
      <c r="S38" s="101"/>
      <c r="T38" s="101"/>
    </row>
    <row r="39" spans="1:21" ht="60.75" customHeight="1" x14ac:dyDescent="0.25">
      <c r="A39" s="16" t="s">
        <v>39</v>
      </c>
      <c r="B39" s="14">
        <v>763</v>
      </c>
      <c r="C39" s="15" t="s">
        <v>10</v>
      </c>
      <c r="D39" s="15" t="s">
        <v>38</v>
      </c>
      <c r="E39" s="15" t="s">
        <v>125</v>
      </c>
      <c r="F39" s="15" t="s">
        <v>41</v>
      </c>
      <c r="G39" s="81">
        <f>SUM(G40)</f>
        <v>19953710</v>
      </c>
      <c r="H39" s="81">
        <f>SUM(H40)</f>
        <v>20152437</v>
      </c>
      <c r="I39" s="81">
        <f>SUM(I40)</f>
        <v>20353151</v>
      </c>
      <c r="J39" s="2">
        <v>15000</v>
      </c>
    </row>
    <row r="40" spans="1:21" ht="26.4" x14ac:dyDescent="0.25">
      <c r="A40" s="16" t="s">
        <v>40</v>
      </c>
      <c r="B40" s="14">
        <v>763</v>
      </c>
      <c r="C40" s="15" t="s">
        <v>10</v>
      </c>
      <c r="D40" s="15" t="s">
        <v>38</v>
      </c>
      <c r="E40" s="15" t="s">
        <v>125</v>
      </c>
      <c r="F40" s="15" t="s">
        <v>42</v>
      </c>
      <c r="G40" s="81">
        <f>прил4.!G132</f>
        <v>19953710</v>
      </c>
      <c r="H40" s="81">
        <f>прил4.!AH132+прил4.!H132</f>
        <v>20152437</v>
      </c>
      <c r="I40" s="81">
        <f>прил4.!AI132+прил4.!I132</f>
        <v>20353151</v>
      </c>
      <c r="J40" s="2">
        <v>200000</v>
      </c>
    </row>
    <row r="41" spans="1:21" ht="26.4" x14ac:dyDescent="0.25">
      <c r="A41" s="16" t="s">
        <v>25</v>
      </c>
      <c r="B41" s="14">
        <v>763</v>
      </c>
      <c r="C41" s="15" t="s">
        <v>10</v>
      </c>
      <c r="D41" s="15" t="s">
        <v>38</v>
      </c>
      <c r="E41" s="15" t="s">
        <v>125</v>
      </c>
      <c r="F41" s="15" t="s">
        <v>26</v>
      </c>
      <c r="G41" s="81">
        <f>SUM(G42)</f>
        <v>748208</v>
      </c>
      <c r="H41" s="81">
        <f>SUM(H42)</f>
        <v>748208</v>
      </c>
      <c r="I41" s="81">
        <f>SUM(I42)</f>
        <v>748208</v>
      </c>
      <c r="J41" s="2">
        <v>200000</v>
      </c>
    </row>
    <row r="42" spans="1:21" ht="26.4" x14ac:dyDescent="0.25">
      <c r="A42" s="16" t="s">
        <v>27</v>
      </c>
      <c r="B42" s="14">
        <v>763</v>
      </c>
      <c r="C42" s="15" t="s">
        <v>10</v>
      </c>
      <c r="D42" s="15" t="s">
        <v>38</v>
      </c>
      <c r="E42" s="15" t="s">
        <v>125</v>
      </c>
      <c r="F42" s="15" t="s">
        <v>28</v>
      </c>
      <c r="G42" s="81">
        <f>прил4.!G134</f>
        <v>748208</v>
      </c>
      <c r="H42" s="81">
        <f>прил4.!AH134+прил4.!H134</f>
        <v>748208</v>
      </c>
      <c r="I42" s="81">
        <f>прил4.!AI134+прил4.!I134</f>
        <v>748208</v>
      </c>
      <c r="J42" s="2">
        <v>210000</v>
      </c>
    </row>
    <row r="43" spans="1:21" ht="33.75" customHeight="1" x14ac:dyDescent="0.25">
      <c r="A43" s="16" t="s">
        <v>278</v>
      </c>
      <c r="B43" s="14">
        <v>763</v>
      </c>
      <c r="C43" s="15" t="s">
        <v>10</v>
      </c>
      <c r="D43" s="15" t="s">
        <v>14</v>
      </c>
      <c r="E43" s="15" t="s">
        <v>126</v>
      </c>
      <c r="F43" s="15"/>
      <c r="G43" s="81">
        <f>G44+G46</f>
        <v>1665279</v>
      </c>
      <c r="H43" s="81">
        <f>H44+H46</f>
        <v>1665279</v>
      </c>
      <c r="I43" s="81">
        <f t="shared" ref="I43:U43" si="15">I44+I46</f>
        <v>1665279</v>
      </c>
      <c r="J43" s="81">
        <f t="shared" si="15"/>
        <v>0</v>
      </c>
      <c r="K43" s="81">
        <f t="shared" si="15"/>
        <v>0</v>
      </c>
      <c r="L43" s="81">
        <f t="shared" si="15"/>
        <v>0</v>
      </c>
      <c r="M43" s="81">
        <f t="shared" si="15"/>
        <v>0</v>
      </c>
      <c r="N43" s="81">
        <f t="shared" si="15"/>
        <v>0</v>
      </c>
      <c r="O43" s="81">
        <f t="shared" si="15"/>
        <v>0</v>
      </c>
      <c r="P43" s="81">
        <f t="shared" si="15"/>
        <v>0</v>
      </c>
      <c r="Q43" s="81">
        <f t="shared" si="15"/>
        <v>0</v>
      </c>
      <c r="R43" s="81">
        <f t="shared" si="15"/>
        <v>0</v>
      </c>
      <c r="S43" s="81">
        <f t="shared" si="15"/>
        <v>0</v>
      </c>
      <c r="T43" s="81">
        <f t="shared" si="15"/>
        <v>0</v>
      </c>
      <c r="U43" s="81">
        <f t="shared" si="15"/>
        <v>0</v>
      </c>
    </row>
    <row r="44" spans="1:21" ht="27.75" customHeight="1" x14ac:dyDescent="0.25">
      <c r="A44" s="16" t="s">
        <v>25</v>
      </c>
      <c r="B44" s="14">
        <v>763</v>
      </c>
      <c r="C44" s="15" t="s">
        <v>10</v>
      </c>
      <c r="D44" s="15" t="s">
        <v>14</v>
      </c>
      <c r="E44" s="15" t="s">
        <v>126</v>
      </c>
      <c r="F44" s="15" t="s">
        <v>26</v>
      </c>
      <c r="G44" s="81">
        <f t="shared" ref="G44:I44" si="16">G45</f>
        <v>1606119</v>
      </c>
      <c r="H44" s="81">
        <f t="shared" si="16"/>
        <v>1606119</v>
      </c>
      <c r="I44" s="81">
        <f t="shared" si="16"/>
        <v>1606119</v>
      </c>
    </row>
    <row r="45" spans="1:21" ht="28.5" customHeight="1" x14ac:dyDescent="0.25">
      <c r="A45" s="16" t="s">
        <v>27</v>
      </c>
      <c r="B45" s="14">
        <v>763</v>
      </c>
      <c r="C45" s="15" t="s">
        <v>10</v>
      </c>
      <c r="D45" s="15" t="s">
        <v>14</v>
      </c>
      <c r="E45" s="15" t="s">
        <v>126</v>
      </c>
      <c r="F45" s="15" t="s">
        <v>28</v>
      </c>
      <c r="G45" s="81">
        <f>прил4.!G139</f>
        <v>1606119</v>
      </c>
      <c r="H45" s="81">
        <f>прил4.!AH139+прил4.!H139</f>
        <v>1606119</v>
      </c>
      <c r="I45" s="81">
        <f>прил4.!AI139+прил4.!I139</f>
        <v>1606119</v>
      </c>
    </row>
    <row r="46" spans="1:21" ht="22.5" customHeight="1" x14ac:dyDescent="0.25">
      <c r="A46" s="16" t="s">
        <v>43</v>
      </c>
      <c r="B46" s="14">
        <v>763</v>
      </c>
      <c r="C46" s="15" t="s">
        <v>10</v>
      </c>
      <c r="D46" s="15" t="s">
        <v>14</v>
      </c>
      <c r="E46" s="15" t="s">
        <v>126</v>
      </c>
      <c r="F46" s="15" t="s">
        <v>44</v>
      </c>
      <c r="G46" s="81">
        <f>G47</f>
        <v>59160</v>
      </c>
      <c r="H46" s="70">
        <f>H47</f>
        <v>59160</v>
      </c>
      <c r="I46" s="70">
        <f t="shared" ref="I46:U46" si="17">I47</f>
        <v>59160</v>
      </c>
      <c r="J46" s="70">
        <f t="shared" si="17"/>
        <v>0</v>
      </c>
      <c r="K46" s="70">
        <f t="shared" si="17"/>
        <v>0</v>
      </c>
      <c r="L46" s="70">
        <f t="shared" si="17"/>
        <v>0</v>
      </c>
      <c r="M46" s="70">
        <f t="shared" si="17"/>
        <v>0</v>
      </c>
      <c r="N46" s="70">
        <f t="shared" si="17"/>
        <v>0</v>
      </c>
      <c r="O46" s="70">
        <f t="shared" si="17"/>
        <v>0</v>
      </c>
      <c r="P46" s="70">
        <f t="shared" si="17"/>
        <v>0</v>
      </c>
      <c r="Q46" s="70">
        <f t="shared" si="17"/>
        <v>0</v>
      </c>
      <c r="R46" s="70">
        <f t="shared" si="17"/>
        <v>0</v>
      </c>
      <c r="S46" s="70">
        <f t="shared" si="17"/>
        <v>0</v>
      </c>
      <c r="T46" s="70">
        <f t="shared" si="17"/>
        <v>0</v>
      </c>
      <c r="U46" s="70">
        <f t="shared" si="17"/>
        <v>0</v>
      </c>
    </row>
    <row r="47" spans="1:21" ht="21" customHeight="1" x14ac:dyDescent="0.25">
      <c r="A47" s="16" t="s">
        <v>83</v>
      </c>
      <c r="B47" s="14">
        <v>763</v>
      </c>
      <c r="C47" s="15" t="s">
        <v>10</v>
      </c>
      <c r="D47" s="15" t="s">
        <v>14</v>
      </c>
      <c r="E47" s="15" t="s">
        <v>126</v>
      </c>
      <c r="F47" s="15" t="s">
        <v>46</v>
      </c>
      <c r="G47" s="81">
        <f>прил4.!G141</f>
        <v>59160</v>
      </c>
      <c r="H47" s="70">
        <f>прил4.!H141</f>
        <v>59160</v>
      </c>
      <c r="I47" s="70">
        <f>прил4.!I141</f>
        <v>59160</v>
      </c>
    </row>
    <row r="48" spans="1:21" ht="114.75" customHeight="1" x14ac:dyDescent="0.25">
      <c r="A48" s="16" t="s">
        <v>402</v>
      </c>
      <c r="B48" s="14">
        <v>763</v>
      </c>
      <c r="C48" s="15" t="s">
        <v>38</v>
      </c>
      <c r="D48" s="15" t="s">
        <v>64</v>
      </c>
      <c r="E48" s="15" t="s">
        <v>129</v>
      </c>
      <c r="F48" s="15"/>
      <c r="G48" s="81">
        <f>G49</f>
        <v>800000</v>
      </c>
      <c r="H48" s="81">
        <f t="shared" ref="H48:I48" si="18">H49</f>
        <v>800000</v>
      </c>
      <c r="I48" s="81">
        <f t="shared" si="18"/>
        <v>800000</v>
      </c>
    </row>
    <row r="49" spans="1:21" ht="26.4" x14ac:dyDescent="0.25">
      <c r="A49" s="16" t="s">
        <v>25</v>
      </c>
      <c r="B49" s="14">
        <v>763</v>
      </c>
      <c r="C49" s="15" t="s">
        <v>38</v>
      </c>
      <c r="D49" s="15" t="s">
        <v>64</v>
      </c>
      <c r="E49" s="15" t="s">
        <v>129</v>
      </c>
      <c r="F49" s="15" t="s">
        <v>26</v>
      </c>
      <c r="G49" s="81">
        <f>SUM(G50)</f>
        <v>800000</v>
      </c>
      <c r="H49" s="81">
        <f>SUM(H50)</f>
        <v>800000</v>
      </c>
      <c r="I49" s="81">
        <f>SUM(I50)</f>
        <v>800000</v>
      </c>
    </row>
    <row r="50" spans="1:21" ht="33" customHeight="1" x14ac:dyDescent="0.25">
      <c r="A50" s="16" t="s">
        <v>27</v>
      </c>
      <c r="B50" s="14">
        <v>763</v>
      </c>
      <c r="C50" s="15" t="s">
        <v>38</v>
      </c>
      <c r="D50" s="15" t="s">
        <v>64</v>
      </c>
      <c r="E50" s="15" t="s">
        <v>129</v>
      </c>
      <c r="F50" s="15" t="s">
        <v>28</v>
      </c>
      <c r="G50" s="81">
        <f>прил4.!G150</f>
        <v>800000</v>
      </c>
      <c r="H50" s="81">
        <f>прил4.!AH150+прил4.!H150</f>
        <v>800000</v>
      </c>
      <c r="I50" s="81">
        <f>прил4.!AI150+прил4.!I150</f>
        <v>800000</v>
      </c>
    </row>
    <row r="51" spans="1:21" ht="94.5" customHeight="1" x14ac:dyDescent="0.25">
      <c r="A51" s="30" t="s">
        <v>403</v>
      </c>
      <c r="B51" s="14">
        <v>763</v>
      </c>
      <c r="C51" s="15" t="s">
        <v>38</v>
      </c>
      <c r="D51" s="15" t="s">
        <v>64</v>
      </c>
      <c r="E51" s="15" t="s">
        <v>130</v>
      </c>
      <c r="F51" s="15"/>
      <c r="G51" s="81">
        <f>G52</f>
        <v>270000</v>
      </c>
      <c r="H51" s="81">
        <f t="shared" ref="H51:I51" si="19">H52</f>
        <v>270000</v>
      </c>
      <c r="I51" s="81">
        <f t="shared" si="19"/>
        <v>270000</v>
      </c>
    </row>
    <row r="52" spans="1:21" ht="30.75" customHeight="1" x14ac:dyDescent="0.25">
      <c r="A52" s="16" t="s">
        <v>25</v>
      </c>
      <c r="B52" s="14">
        <v>763</v>
      </c>
      <c r="C52" s="15" t="s">
        <v>38</v>
      </c>
      <c r="D52" s="15" t="s">
        <v>64</v>
      </c>
      <c r="E52" s="15" t="s">
        <v>130</v>
      </c>
      <c r="F52" s="15" t="s">
        <v>26</v>
      </c>
      <c r="G52" s="81">
        <f>SUM(G53)</f>
        <v>270000</v>
      </c>
      <c r="H52" s="81">
        <f>SUM(H53)</f>
        <v>270000</v>
      </c>
      <c r="I52" s="81">
        <f>SUM(I53)</f>
        <v>270000</v>
      </c>
    </row>
    <row r="53" spans="1:21" ht="25.5" customHeight="1" x14ac:dyDescent="0.25">
      <c r="A53" s="16" t="s">
        <v>27</v>
      </c>
      <c r="B53" s="14">
        <v>763</v>
      </c>
      <c r="C53" s="15" t="s">
        <v>38</v>
      </c>
      <c r="D53" s="15" t="s">
        <v>64</v>
      </c>
      <c r="E53" s="15" t="s">
        <v>130</v>
      </c>
      <c r="F53" s="15" t="s">
        <v>28</v>
      </c>
      <c r="G53" s="81">
        <f>прил4.!G153</f>
        <v>270000</v>
      </c>
      <c r="H53" s="81">
        <f>прил4.!AH153+прил4.!H153</f>
        <v>270000</v>
      </c>
      <c r="I53" s="81">
        <f>прил4.!AI153+прил4.!I153</f>
        <v>270000</v>
      </c>
    </row>
    <row r="54" spans="1:21" s="22" customFormat="1" ht="36" customHeight="1" x14ac:dyDescent="0.25">
      <c r="A54" s="96" t="s">
        <v>359</v>
      </c>
      <c r="B54" s="35">
        <v>793</v>
      </c>
      <c r="C54" s="36" t="s">
        <v>48</v>
      </c>
      <c r="D54" s="36" t="s">
        <v>49</v>
      </c>
      <c r="E54" s="36" t="s">
        <v>168</v>
      </c>
      <c r="F54" s="36"/>
      <c r="G54" s="71">
        <f>G55+G58+G61+G64+G73+G67+G70</f>
        <v>457146472.63999999</v>
      </c>
      <c r="H54" s="71">
        <f t="shared" ref="H54:I54" si="20">H55+H58+H61+H64+H73+H67+H70</f>
        <v>473042628.36000001</v>
      </c>
      <c r="I54" s="71">
        <f t="shared" si="20"/>
        <v>400000</v>
      </c>
      <c r="J54" s="21">
        <v>100000</v>
      </c>
      <c r="P54" s="21"/>
      <c r="Q54" s="21"/>
      <c r="R54" s="21"/>
      <c r="S54" s="21"/>
      <c r="T54" s="21" t="e">
        <f>прил4.!#REF!+прил4.!#REF!+прил4.!G662</f>
        <v>#REF!</v>
      </c>
      <c r="U54" s="21" t="e">
        <f>T54-G54</f>
        <v>#REF!</v>
      </c>
    </row>
    <row r="55" spans="1:21" ht="42.75" customHeight="1" x14ac:dyDescent="0.25">
      <c r="A55" s="50" t="s">
        <v>421</v>
      </c>
      <c r="B55" s="14">
        <v>793</v>
      </c>
      <c r="C55" s="15" t="s">
        <v>48</v>
      </c>
      <c r="D55" s="15" t="s">
        <v>49</v>
      </c>
      <c r="E55" s="15" t="s">
        <v>326</v>
      </c>
      <c r="F55" s="15"/>
      <c r="G55" s="70">
        <f>G56</f>
        <v>400000</v>
      </c>
      <c r="H55" s="70">
        <f t="shared" ref="H55:I55" si="21">H56</f>
        <v>400000</v>
      </c>
      <c r="I55" s="70">
        <f t="shared" si="21"/>
        <v>400000</v>
      </c>
      <c r="J55" s="1"/>
    </row>
    <row r="56" spans="1:21" ht="21" customHeight="1" x14ac:dyDescent="0.25">
      <c r="A56" s="16" t="s">
        <v>86</v>
      </c>
      <c r="B56" s="14">
        <v>793</v>
      </c>
      <c r="C56" s="15" t="s">
        <v>48</v>
      </c>
      <c r="D56" s="15" t="s">
        <v>49</v>
      </c>
      <c r="E56" s="15" t="s">
        <v>326</v>
      </c>
      <c r="F56" s="15" t="s">
        <v>87</v>
      </c>
      <c r="G56" s="70">
        <f>G57</f>
        <v>400000</v>
      </c>
      <c r="H56" s="70">
        <f t="shared" ref="H56:I56" si="22">H57</f>
        <v>400000</v>
      </c>
      <c r="I56" s="70">
        <f t="shared" si="22"/>
        <v>400000</v>
      </c>
      <c r="J56" s="1"/>
    </row>
    <row r="57" spans="1:21" ht="30.75" customHeight="1" x14ac:dyDescent="0.25">
      <c r="A57" s="16" t="s">
        <v>88</v>
      </c>
      <c r="B57" s="14">
        <v>793</v>
      </c>
      <c r="C57" s="15" t="s">
        <v>48</v>
      </c>
      <c r="D57" s="15" t="s">
        <v>49</v>
      </c>
      <c r="E57" s="15" t="s">
        <v>326</v>
      </c>
      <c r="F57" s="15" t="s">
        <v>89</v>
      </c>
      <c r="G57" s="70">
        <f>прил4.!G664</f>
        <v>400000</v>
      </c>
      <c r="H57" s="70">
        <f>прил4.!H664</f>
        <v>400000</v>
      </c>
      <c r="I57" s="70">
        <f>прил4.!I664</f>
        <v>400000</v>
      </c>
      <c r="J57" s="1"/>
    </row>
    <row r="58" spans="1:21" ht="62.25" customHeight="1" x14ac:dyDescent="0.25">
      <c r="A58" s="109" t="s">
        <v>509</v>
      </c>
      <c r="B58" s="120">
        <v>793</v>
      </c>
      <c r="C58" s="79" t="s">
        <v>17</v>
      </c>
      <c r="D58" s="79" t="s">
        <v>19</v>
      </c>
      <c r="E58" s="79" t="s">
        <v>533</v>
      </c>
      <c r="F58" s="15"/>
      <c r="G58" s="70">
        <f>G59</f>
        <v>228140549</v>
      </c>
      <c r="H58" s="70">
        <f t="shared" ref="H58:I65" si="23">H59</f>
        <v>239605367</v>
      </c>
      <c r="I58" s="70">
        <f t="shared" si="23"/>
        <v>0</v>
      </c>
      <c r="J58" s="136"/>
      <c r="K58" s="69"/>
      <c r="L58" s="69"/>
      <c r="M58" s="69"/>
      <c r="N58" s="69"/>
      <c r="O58" s="69"/>
      <c r="P58" s="69"/>
      <c r="Q58" s="69"/>
      <c r="R58" s="69"/>
      <c r="S58" s="1"/>
      <c r="T58" s="1"/>
    </row>
    <row r="59" spans="1:21" ht="33.75" customHeight="1" x14ac:dyDescent="0.25">
      <c r="A59" s="78" t="s">
        <v>69</v>
      </c>
      <c r="B59" s="120">
        <v>793</v>
      </c>
      <c r="C59" s="79" t="s">
        <v>17</v>
      </c>
      <c r="D59" s="79" t="s">
        <v>19</v>
      </c>
      <c r="E59" s="79" t="s">
        <v>533</v>
      </c>
      <c r="F59" s="15" t="s">
        <v>215</v>
      </c>
      <c r="G59" s="70">
        <f>G60</f>
        <v>228140549</v>
      </c>
      <c r="H59" s="70">
        <f t="shared" si="23"/>
        <v>239605367</v>
      </c>
      <c r="I59" s="70">
        <f t="shared" si="23"/>
        <v>0</v>
      </c>
      <c r="J59" s="136"/>
      <c r="K59" s="69"/>
      <c r="L59" s="69"/>
      <c r="M59" s="69"/>
      <c r="N59" s="69"/>
      <c r="O59" s="69"/>
      <c r="P59" s="69"/>
      <c r="Q59" s="69"/>
      <c r="R59" s="69"/>
      <c r="S59" s="1"/>
      <c r="T59" s="1"/>
    </row>
    <row r="60" spans="1:21" ht="27" customHeight="1" x14ac:dyDescent="0.25">
      <c r="A60" s="78" t="s">
        <v>216</v>
      </c>
      <c r="B60" s="120">
        <v>793</v>
      </c>
      <c r="C60" s="79" t="s">
        <v>17</v>
      </c>
      <c r="D60" s="79" t="s">
        <v>19</v>
      </c>
      <c r="E60" s="79" t="s">
        <v>533</v>
      </c>
      <c r="F60" s="15" t="s">
        <v>217</v>
      </c>
      <c r="G60" s="70">
        <f>прил4.!G642</f>
        <v>228140549</v>
      </c>
      <c r="H60" s="81">
        <f>прил4.!H642</f>
        <v>239605367</v>
      </c>
      <c r="I60" s="81">
        <f>прил4.!I642</f>
        <v>0</v>
      </c>
      <c r="J60" s="136"/>
      <c r="K60" s="69"/>
      <c r="L60" s="69"/>
      <c r="M60" s="69"/>
      <c r="N60" s="69"/>
      <c r="O60" s="69"/>
      <c r="P60" s="69"/>
      <c r="Q60" s="69"/>
      <c r="R60" s="69"/>
      <c r="S60" s="1"/>
      <c r="T60" s="1"/>
    </row>
    <row r="61" spans="1:21" ht="42.75" hidden="1" customHeight="1" x14ac:dyDescent="0.25">
      <c r="A61" s="109" t="s">
        <v>464</v>
      </c>
      <c r="B61" s="120">
        <v>793</v>
      </c>
      <c r="C61" s="79" t="s">
        <v>17</v>
      </c>
      <c r="D61" s="79" t="s">
        <v>19</v>
      </c>
      <c r="E61" s="79" t="s">
        <v>463</v>
      </c>
      <c r="F61" s="15"/>
      <c r="G61" s="70">
        <f>G62</f>
        <v>0</v>
      </c>
      <c r="H61" s="81">
        <f t="shared" ref="H61:I62" si="24">H62</f>
        <v>0</v>
      </c>
      <c r="I61" s="81">
        <f t="shared" si="24"/>
        <v>0</v>
      </c>
      <c r="J61" s="136"/>
      <c r="K61" s="69"/>
      <c r="L61" s="69"/>
      <c r="M61" s="69"/>
      <c r="N61" s="69"/>
      <c r="O61" s="69"/>
      <c r="P61" s="69"/>
      <c r="Q61" s="69"/>
      <c r="R61" s="69"/>
      <c r="S61" s="1"/>
      <c r="T61" s="1"/>
    </row>
    <row r="62" spans="1:21" ht="30" hidden="1" customHeight="1" x14ac:dyDescent="0.25">
      <c r="A62" s="78" t="s">
        <v>69</v>
      </c>
      <c r="B62" s="120">
        <v>793</v>
      </c>
      <c r="C62" s="79" t="s">
        <v>17</v>
      </c>
      <c r="D62" s="79" t="s">
        <v>19</v>
      </c>
      <c r="E62" s="79" t="s">
        <v>463</v>
      </c>
      <c r="F62" s="15" t="s">
        <v>215</v>
      </c>
      <c r="G62" s="70">
        <f>G63</f>
        <v>0</v>
      </c>
      <c r="H62" s="81">
        <f t="shared" si="24"/>
        <v>0</v>
      </c>
      <c r="I62" s="81">
        <f t="shared" si="24"/>
        <v>0</v>
      </c>
      <c r="J62" s="136"/>
      <c r="K62" s="69"/>
      <c r="L62" s="69"/>
      <c r="M62" s="69"/>
      <c r="N62" s="69"/>
      <c r="O62" s="69"/>
      <c r="P62" s="69"/>
      <c r="Q62" s="69"/>
      <c r="R62" s="69"/>
      <c r="S62" s="1"/>
      <c r="T62" s="1"/>
    </row>
    <row r="63" spans="1:21" ht="22.5" hidden="1" customHeight="1" x14ac:dyDescent="0.25">
      <c r="A63" s="78" t="s">
        <v>216</v>
      </c>
      <c r="B63" s="120">
        <v>793</v>
      </c>
      <c r="C63" s="79" t="s">
        <v>17</v>
      </c>
      <c r="D63" s="79" t="s">
        <v>19</v>
      </c>
      <c r="E63" s="79" t="s">
        <v>463</v>
      </c>
      <c r="F63" s="15" t="s">
        <v>217</v>
      </c>
      <c r="G63" s="70">
        <f>прил4.!G645</f>
        <v>0</v>
      </c>
      <c r="H63" s="81">
        <v>0</v>
      </c>
      <c r="I63" s="81">
        <v>0</v>
      </c>
      <c r="J63" s="136"/>
      <c r="K63" s="69"/>
      <c r="L63" s="69"/>
      <c r="M63" s="69"/>
      <c r="N63" s="69"/>
      <c r="O63" s="69"/>
      <c r="P63" s="69"/>
      <c r="Q63" s="69"/>
      <c r="R63" s="69"/>
      <c r="S63" s="1"/>
      <c r="T63" s="1"/>
    </row>
    <row r="64" spans="1:21" ht="62.25" customHeight="1" x14ac:dyDescent="0.25">
      <c r="A64" s="109" t="s">
        <v>510</v>
      </c>
      <c r="B64" s="120">
        <v>793</v>
      </c>
      <c r="C64" s="79" t="s">
        <v>17</v>
      </c>
      <c r="D64" s="79" t="s">
        <v>19</v>
      </c>
      <c r="E64" s="79" t="s">
        <v>534</v>
      </c>
      <c r="F64" s="15"/>
      <c r="G64" s="70">
        <f>G65</f>
        <v>91064953.75</v>
      </c>
      <c r="H64" s="81">
        <f t="shared" si="23"/>
        <v>95641261.359999999</v>
      </c>
      <c r="I64" s="81">
        <f t="shared" si="23"/>
        <v>0</v>
      </c>
      <c r="J64" s="136"/>
      <c r="K64" s="69"/>
      <c r="L64" s="69"/>
      <c r="M64" s="69"/>
      <c r="N64" s="69"/>
      <c r="O64" s="69"/>
      <c r="P64" s="69"/>
      <c r="Q64" s="69"/>
      <c r="R64" s="69"/>
      <c r="S64" s="1"/>
      <c r="T64" s="1"/>
    </row>
    <row r="65" spans="1:21" ht="30" customHeight="1" x14ac:dyDescent="0.25">
      <c r="A65" s="78" t="s">
        <v>69</v>
      </c>
      <c r="B65" s="120">
        <v>793</v>
      </c>
      <c r="C65" s="79" t="s">
        <v>17</v>
      </c>
      <c r="D65" s="79" t="s">
        <v>19</v>
      </c>
      <c r="E65" s="79" t="s">
        <v>534</v>
      </c>
      <c r="F65" s="15" t="s">
        <v>215</v>
      </c>
      <c r="G65" s="70">
        <f>G66</f>
        <v>91064953.75</v>
      </c>
      <c r="H65" s="81">
        <f t="shared" si="23"/>
        <v>95641261.359999999</v>
      </c>
      <c r="I65" s="81">
        <f t="shared" si="23"/>
        <v>0</v>
      </c>
      <c r="J65" s="136"/>
      <c r="K65" s="69"/>
      <c r="L65" s="69"/>
      <c r="M65" s="69"/>
      <c r="N65" s="69"/>
      <c r="O65" s="69"/>
      <c r="P65" s="69"/>
      <c r="Q65" s="69"/>
      <c r="R65" s="69"/>
      <c r="S65" s="1"/>
      <c r="T65" s="1"/>
    </row>
    <row r="66" spans="1:21" ht="23.25" customHeight="1" x14ac:dyDescent="0.25">
      <c r="A66" s="78" t="s">
        <v>216</v>
      </c>
      <c r="B66" s="120">
        <v>793</v>
      </c>
      <c r="C66" s="79" t="s">
        <v>17</v>
      </c>
      <c r="D66" s="79" t="s">
        <v>19</v>
      </c>
      <c r="E66" s="79" t="s">
        <v>534</v>
      </c>
      <c r="F66" s="15" t="s">
        <v>217</v>
      </c>
      <c r="G66" s="70">
        <f>прил4.!G648</f>
        <v>91064953.75</v>
      </c>
      <c r="H66" s="81">
        <f>прил4.!H648</f>
        <v>95641261.359999999</v>
      </c>
      <c r="I66" s="81">
        <f>прил4.!I648</f>
        <v>0</v>
      </c>
      <c r="J66" s="136"/>
      <c r="K66" s="69"/>
      <c r="L66" s="69"/>
      <c r="M66" s="69"/>
      <c r="N66" s="69"/>
      <c r="O66" s="69"/>
      <c r="P66" s="69"/>
      <c r="Q66" s="69"/>
      <c r="R66" s="69"/>
      <c r="S66" s="1"/>
      <c r="T66" s="1"/>
    </row>
    <row r="67" spans="1:21" ht="90" customHeight="1" x14ac:dyDescent="0.25">
      <c r="A67" s="109" t="s">
        <v>552</v>
      </c>
      <c r="B67" s="14">
        <v>793</v>
      </c>
      <c r="C67" s="79" t="s">
        <v>17</v>
      </c>
      <c r="D67" s="79" t="s">
        <v>19</v>
      </c>
      <c r="E67" s="15" t="s">
        <v>553</v>
      </c>
      <c r="F67" s="15"/>
      <c r="G67" s="70">
        <f>G68</f>
        <v>98199000</v>
      </c>
      <c r="H67" s="70">
        <f t="shared" ref="H67:I68" si="25">H68</f>
        <v>98199000</v>
      </c>
      <c r="I67" s="70">
        <f t="shared" si="25"/>
        <v>0</v>
      </c>
      <c r="J67" s="136"/>
      <c r="K67" s="69"/>
      <c r="L67" s="69"/>
      <c r="M67" s="69"/>
      <c r="N67" s="69"/>
      <c r="O67" s="69"/>
      <c r="P67" s="69"/>
      <c r="Q67" s="69"/>
      <c r="R67" s="69"/>
      <c r="S67" s="1"/>
      <c r="T67" s="1"/>
    </row>
    <row r="68" spans="1:21" ht="30" customHeight="1" x14ac:dyDescent="0.25">
      <c r="A68" s="78" t="s">
        <v>69</v>
      </c>
      <c r="B68" s="14">
        <v>793</v>
      </c>
      <c r="C68" s="79" t="s">
        <v>17</v>
      </c>
      <c r="D68" s="79" t="s">
        <v>19</v>
      </c>
      <c r="E68" s="15" t="s">
        <v>553</v>
      </c>
      <c r="F68" s="15" t="s">
        <v>215</v>
      </c>
      <c r="G68" s="70">
        <f>G69</f>
        <v>98199000</v>
      </c>
      <c r="H68" s="70">
        <f t="shared" si="25"/>
        <v>98199000</v>
      </c>
      <c r="I68" s="70">
        <f t="shared" si="25"/>
        <v>0</v>
      </c>
      <c r="J68" s="136"/>
      <c r="K68" s="69"/>
      <c r="L68" s="69"/>
      <c r="M68" s="69"/>
      <c r="N68" s="69"/>
      <c r="O68" s="69"/>
      <c r="P68" s="69"/>
      <c r="Q68" s="69"/>
      <c r="R68" s="69"/>
      <c r="S68" s="1"/>
      <c r="T68" s="1"/>
    </row>
    <row r="69" spans="1:21" ht="21" customHeight="1" x14ac:dyDescent="0.25">
      <c r="A69" s="78" t="s">
        <v>216</v>
      </c>
      <c r="B69" s="14">
        <v>793</v>
      </c>
      <c r="C69" s="79" t="s">
        <v>17</v>
      </c>
      <c r="D69" s="79" t="s">
        <v>19</v>
      </c>
      <c r="E69" s="15" t="s">
        <v>553</v>
      </c>
      <c r="F69" s="15" t="s">
        <v>217</v>
      </c>
      <c r="G69" s="70">
        <f>прил4.!G651</f>
        <v>98199000</v>
      </c>
      <c r="H69" s="70">
        <f>прил4.!H651</f>
        <v>98199000</v>
      </c>
      <c r="I69" s="70">
        <f>прил4.!I651</f>
        <v>0</v>
      </c>
      <c r="J69" s="136"/>
      <c r="K69" s="69"/>
      <c r="L69" s="69"/>
      <c r="M69" s="69"/>
      <c r="N69" s="69"/>
      <c r="O69" s="69"/>
      <c r="P69" s="69"/>
      <c r="Q69" s="69"/>
      <c r="R69" s="69"/>
      <c r="S69" s="1"/>
      <c r="T69" s="1"/>
    </row>
    <row r="70" spans="1:21" ht="92.25" customHeight="1" x14ac:dyDescent="0.25">
      <c r="A70" s="109" t="s">
        <v>554</v>
      </c>
      <c r="B70" s="14">
        <v>793</v>
      </c>
      <c r="C70" s="79" t="s">
        <v>17</v>
      </c>
      <c r="D70" s="79" t="s">
        <v>19</v>
      </c>
      <c r="E70" s="15" t="s">
        <v>555</v>
      </c>
      <c r="F70" s="15"/>
      <c r="G70" s="70">
        <f t="shared" ref="G70:I71" si="26">G71</f>
        <v>39197000</v>
      </c>
      <c r="H70" s="70">
        <f t="shared" si="26"/>
        <v>39197000</v>
      </c>
      <c r="I70" s="70">
        <f t="shared" si="26"/>
        <v>0</v>
      </c>
      <c r="J70" s="136"/>
      <c r="K70" s="69"/>
      <c r="L70" s="69"/>
      <c r="M70" s="69"/>
      <c r="N70" s="69"/>
      <c r="O70" s="69"/>
      <c r="P70" s="69"/>
      <c r="Q70" s="69"/>
      <c r="R70" s="69"/>
      <c r="S70" s="1"/>
      <c r="T70" s="1"/>
    </row>
    <row r="71" spans="1:21" ht="30" customHeight="1" x14ac:dyDescent="0.25">
      <c r="A71" s="78" t="s">
        <v>69</v>
      </c>
      <c r="B71" s="14">
        <v>793</v>
      </c>
      <c r="C71" s="79" t="s">
        <v>17</v>
      </c>
      <c r="D71" s="79" t="s">
        <v>19</v>
      </c>
      <c r="E71" s="15" t="s">
        <v>555</v>
      </c>
      <c r="F71" s="15" t="s">
        <v>215</v>
      </c>
      <c r="G71" s="70">
        <f t="shared" si="26"/>
        <v>39197000</v>
      </c>
      <c r="H71" s="70">
        <f t="shared" si="26"/>
        <v>39197000</v>
      </c>
      <c r="I71" s="70">
        <f t="shared" si="26"/>
        <v>0</v>
      </c>
      <c r="J71" s="136"/>
      <c r="K71" s="69"/>
      <c r="L71" s="69"/>
      <c r="M71" s="69"/>
      <c r="N71" s="69"/>
      <c r="O71" s="69"/>
      <c r="P71" s="69"/>
      <c r="Q71" s="69"/>
      <c r="R71" s="69"/>
      <c r="S71" s="1"/>
      <c r="T71" s="1"/>
    </row>
    <row r="72" spans="1:21" ht="21.75" customHeight="1" x14ac:dyDescent="0.25">
      <c r="A72" s="78" t="s">
        <v>216</v>
      </c>
      <c r="B72" s="14">
        <v>793</v>
      </c>
      <c r="C72" s="79" t="s">
        <v>17</v>
      </c>
      <c r="D72" s="79" t="s">
        <v>19</v>
      </c>
      <c r="E72" s="15" t="s">
        <v>555</v>
      </c>
      <c r="F72" s="15" t="s">
        <v>217</v>
      </c>
      <c r="G72" s="70">
        <f>прил4.!G654</f>
        <v>39197000</v>
      </c>
      <c r="H72" s="70">
        <f>прил4.!H654</f>
        <v>39197000</v>
      </c>
      <c r="I72" s="70">
        <f>прил4.!I654</f>
        <v>0</v>
      </c>
      <c r="J72" s="136"/>
      <c r="K72" s="69"/>
      <c r="L72" s="69"/>
      <c r="M72" s="69"/>
      <c r="N72" s="69"/>
      <c r="O72" s="69"/>
      <c r="P72" s="69"/>
      <c r="Q72" s="69"/>
      <c r="R72" s="69"/>
      <c r="S72" s="1"/>
      <c r="T72" s="1"/>
    </row>
    <row r="73" spans="1:21" s="18" customFormat="1" ht="34.5" customHeight="1" x14ac:dyDescent="0.25">
      <c r="A73" s="78" t="s">
        <v>530</v>
      </c>
      <c r="B73" s="14">
        <v>793</v>
      </c>
      <c r="C73" s="15" t="s">
        <v>98</v>
      </c>
      <c r="D73" s="15" t="s">
        <v>49</v>
      </c>
      <c r="E73" s="15" t="s">
        <v>531</v>
      </c>
      <c r="F73" s="15"/>
      <c r="G73" s="70">
        <f>G74</f>
        <v>144969.89000000001</v>
      </c>
      <c r="H73" s="70">
        <f t="shared" ref="H73:I73" si="27">H74</f>
        <v>0</v>
      </c>
      <c r="I73" s="70">
        <f t="shared" si="27"/>
        <v>0</v>
      </c>
      <c r="J73" s="136"/>
      <c r="K73" s="141"/>
      <c r="L73" s="141"/>
      <c r="M73" s="141"/>
      <c r="N73" s="141"/>
      <c r="O73" s="141"/>
      <c r="P73" s="141"/>
      <c r="Q73" s="141"/>
      <c r="R73" s="141"/>
    </row>
    <row r="74" spans="1:21" ht="30.75" customHeight="1" x14ac:dyDescent="0.25">
      <c r="A74" s="16" t="s">
        <v>25</v>
      </c>
      <c r="B74" s="14">
        <v>793</v>
      </c>
      <c r="C74" s="15" t="s">
        <v>98</v>
      </c>
      <c r="D74" s="15" t="s">
        <v>49</v>
      </c>
      <c r="E74" s="15" t="s">
        <v>531</v>
      </c>
      <c r="F74" s="15" t="s">
        <v>26</v>
      </c>
      <c r="G74" s="70">
        <f t="shared" ref="G74:I74" si="28">G75</f>
        <v>144969.89000000001</v>
      </c>
      <c r="H74" s="70">
        <f t="shared" si="28"/>
        <v>0</v>
      </c>
      <c r="I74" s="70">
        <f t="shared" si="28"/>
        <v>0</v>
      </c>
      <c r="J74" s="136"/>
      <c r="K74" s="69"/>
      <c r="L74" s="69"/>
      <c r="M74" s="69"/>
      <c r="N74" s="69"/>
      <c r="O74" s="69"/>
      <c r="P74" s="69"/>
      <c r="Q74" s="69"/>
      <c r="R74" s="69"/>
      <c r="S74" s="1"/>
      <c r="T74" s="1"/>
    </row>
    <row r="75" spans="1:21" s="18" customFormat="1" ht="27.75" customHeight="1" x14ac:dyDescent="0.25">
      <c r="A75" s="16" t="s">
        <v>27</v>
      </c>
      <c r="B75" s="14">
        <v>793</v>
      </c>
      <c r="C75" s="15" t="s">
        <v>98</v>
      </c>
      <c r="D75" s="15" t="s">
        <v>49</v>
      </c>
      <c r="E75" s="15" t="s">
        <v>531</v>
      </c>
      <c r="F75" s="15" t="s">
        <v>28</v>
      </c>
      <c r="G75" s="70">
        <f>прил4.!G596</f>
        <v>144969.89000000001</v>
      </c>
      <c r="H75" s="70">
        <v>0</v>
      </c>
      <c r="I75" s="70">
        <v>0</v>
      </c>
      <c r="J75" s="136"/>
      <c r="K75" s="141"/>
      <c r="L75" s="141"/>
      <c r="M75" s="141"/>
      <c r="N75" s="141"/>
      <c r="O75" s="141"/>
      <c r="P75" s="141"/>
      <c r="Q75" s="141"/>
      <c r="R75" s="141"/>
    </row>
    <row r="76" spans="1:21" s="22" customFormat="1" ht="29.25" customHeight="1" x14ac:dyDescent="0.25">
      <c r="A76" s="216" t="s">
        <v>360</v>
      </c>
      <c r="B76" s="35">
        <v>793</v>
      </c>
      <c r="C76" s="36" t="s">
        <v>10</v>
      </c>
      <c r="D76" s="36" t="s">
        <v>38</v>
      </c>
      <c r="E76" s="35" t="s">
        <v>153</v>
      </c>
      <c r="F76" s="35"/>
      <c r="G76" s="71">
        <f>G77+G80</f>
        <v>1680000</v>
      </c>
      <c r="H76" s="71">
        <f t="shared" ref="H76:I76" si="29">H77+H80</f>
        <v>1680000</v>
      </c>
      <c r="I76" s="71">
        <f t="shared" si="29"/>
        <v>1680000</v>
      </c>
      <c r="J76" s="21">
        <v>25000</v>
      </c>
      <c r="P76" s="21"/>
      <c r="Q76" s="21"/>
      <c r="R76" s="21"/>
      <c r="S76" s="21"/>
      <c r="T76" s="21">
        <f>прил4.!G541+прил4.!G389</f>
        <v>1680000</v>
      </c>
      <c r="U76" s="21">
        <f>T76-G76</f>
        <v>0</v>
      </c>
    </row>
    <row r="77" spans="1:21" ht="60" customHeight="1" x14ac:dyDescent="0.25">
      <c r="A77" s="252" t="s">
        <v>499</v>
      </c>
      <c r="B77" s="14">
        <v>793</v>
      </c>
      <c r="C77" s="15" t="s">
        <v>10</v>
      </c>
      <c r="D77" s="15" t="s">
        <v>38</v>
      </c>
      <c r="E77" s="15" t="s">
        <v>438</v>
      </c>
      <c r="F77" s="15"/>
      <c r="G77" s="70">
        <f t="shared" ref="G77:I78" si="30">G78</f>
        <v>35000</v>
      </c>
      <c r="H77" s="81">
        <f t="shared" si="30"/>
        <v>35000</v>
      </c>
      <c r="I77" s="81">
        <f t="shared" si="30"/>
        <v>35000</v>
      </c>
      <c r="J77" s="2">
        <v>190700</v>
      </c>
    </row>
    <row r="78" spans="1:21" ht="24" customHeight="1" x14ac:dyDescent="0.25">
      <c r="A78" s="16" t="s">
        <v>199</v>
      </c>
      <c r="B78" s="14">
        <v>793</v>
      </c>
      <c r="C78" s="15" t="s">
        <v>10</v>
      </c>
      <c r="D78" s="15" t="s">
        <v>38</v>
      </c>
      <c r="E78" s="15" t="s">
        <v>438</v>
      </c>
      <c r="F78" s="15" t="s">
        <v>26</v>
      </c>
      <c r="G78" s="70">
        <f t="shared" si="30"/>
        <v>35000</v>
      </c>
      <c r="H78" s="81">
        <f t="shared" si="30"/>
        <v>35000</v>
      </c>
      <c r="I78" s="81">
        <f t="shared" si="30"/>
        <v>35000</v>
      </c>
      <c r="J78" s="2">
        <v>400000</v>
      </c>
    </row>
    <row r="79" spans="1:21" ht="34.5" customHeight="1" x14ac:dyDescent="0.25">
      <c r="A79" s="16" t="s">
        <v>27</v>
      </c>
      <c r="B79" s="14">
        <v>793</v>
      </c>
      <c r="C79" s="15" t="s">
        <v>10</v>
      </c>
      <c r="D79" s="15" t="s">
        <v>38</v>
      </c>
      <c r="E79" s="15" t="s">
        <v>438</v>
      </c>
      <c r="F79" s="15" t="s">
        <v>28</v>
      </c>
      <c r="G79" s="70">
        <f>прил4.!G392</f>
        <v>35000</v>
      </c>
      <c r="H79" s="81">
        <f>прил4.!H392</f>
        <v>35000</v>
      </c>
      <c r="I79" s="81">
        <f>прил4.!I392</f>
        <v>35000</v>
      </c>
      <c r="J79" s="2">
        <f>SUM(J76:J78)</f>
        <v>615700</v>
      </c>
    </row>
    <row r="80" spans="1:21" ht="44.25" customHeight="1" x14ac:dyDescent="0.25">
      <c r="A80" s="77" t="s">
        <v>452</v>
      </c>
      <c r="B80" s="14">
        <v>793</v>
      </c>
      <c r="C80" s="15" t="s">
        <v>38</v>
      </c>
      <c r="D80" s="15" t="s">
        <v>64</v>
      </c>
      <c r="E80" s="14" t="s">
        <v>428</v>
      </c>
      <c r="F80" s="14"/>
      <c r="G80" s="70">
        <f>G82</f>
        <v>1645000</v>
      </c>
      <c r="H80" s="81">
        <f>H82</f>
        <v>1645000</v>
      </c>
      <c r="I80" s="81">
        <f>I82</f>
        <v>1645000</v>
      </c>
    </row>
    <row r="81" spans="1:21" ht="21" customHeight="1" x14ac:dyDescent="0.25">
      <c r="A81" s="16" t="s">
        <v>43</v>
      </c>
      <c r="B81" s="14">
        <v>793</v>
      </c>
      <c r="C81" s="15" t="s">
        <v>38</v>
      </c>
      <c r="D81" s="15" t="s">
        <v>64</v>
      </c>
      <c r="E81" s="14" t="s">
        <v>428</v>
      </c>
      <c r="F81" s="14">
        <v>800</v>
      </c>
      <c r="G81" s="70">
        <f t="shared" ref="G81:I81" si="31">G82</f>
        <v>1645000</v>
      </c>
      <c r="H81" s="81">
        <f t="shared" si="31"/>
        <v>1645000</v>
      </c>
      <c r="I81" s="81">
        <f t="shared" si="31"/>
        <v>1645000</v>
      </c>
    </row>
    <row r="82" spans="1:21" ht="45.75" customHeight="1" x14ac:dyDescent="0.25">
      <c r="A82" s="16" t="s">
        <v>210</v>
      </c>
      <c r="B82" s="14">
        <v>793</v>
      </c>
      <c r="C82" s="15" t="s">
        <v>38</v>
      </c>
      <c r="D82" s="15" t="s">
        <v>64</v>
      </c>
      <c r="E82" s="14" t="s">
        <v>428</v>
      </c>
      <c r="F82" s="14">
        <v>810</v>
      </c>
      <c r="G82" s="70">
        <f>прил4.!G544</f>
        <v>1645000</v>
      </c>
      <c r="H82" s="81">
        <f>прил4.!H544</f>
        <v>1645000</v>
      </c>
      <c r="I82" s="81">
        <f>прил4.!I544</f>
        <v>1645000</v>
      </c>
    </row>
    <row r="83" spans="1:21" s="175" customFormat="1" ht="28.5" customHeight="1" x14ac:dyDescent="0.25">
      <c r="A83" s="96" t="s">
        <v>361</v>
      </c>
      <c r="B83" s="35">
        <v>792</v>
      </c>
      <c r="C83" s="36" t="s">
        <v>38</v>
      </c>
      <c r="D83" s="36" t="s">
        <v>79</v>
      </c>
      <c r="E83" s="36" t="s">
        <v>147</v>
      </c>
      <c r="F83" s="36"/>
      <c r="G83" s="71">
        <f>G87+G84</f>
        <v>82792259.060000002</v>
      </c>
      <c r="H83" s="71">
        <f>H87+H84</f>
        <v>77811090.299999997</v>
      </c>
      <c r="I83" s="71">
        <f>I87+I84</f>
        <v>93316964.900000006</v>
      </c>
      <c r="J83" s="174">
        <v>1500000</v>
      </c>
      <c r="P83" s="174"/>
      <c r="Q83" s="174"/>
      <c r="R83" s="174"/>
      <c r="S83" s="174"/>
      <c r="T83" s="174" t="e">
        <f>прил4.!#REF!+прил4.!G526+прил4.!G531</f>
        <v>#REF!</v>
      </c>
    </row>
    <row r="84" spans="1:21" s="46" customFormat="1" ht="44.25" customHeight="1" x14ac:dyDescent="0.25">
      <c r="A84" s="16" t="s">
        <v>341</v>
      </c>
      <c r="B84" s="14">
        <v>793</v>
      </c>
      <c r="C84" s="15" t="s">
        <v>38</v>
      </c>
      <c r="D84" s="15" t="s">
        <v>30</v>
      </c>
      <c r="E84" s="15" t="s">
        <v>412</v>
      </c>
      <c r="F84" s="15"/>
      <c r="G84" s="81">
        <f t="shared" ref="G84:I85" si="32">G85</f>
        <v>4000000</v>
      </c>
      <c r="H84" s="81">
        <f t="shared" si="32"/>
        <v>4000000</v>
      </c>
      <c r="I84" s="81">
        <f t="shared" si="32"/>
        <v>4000000</v>
      </c>
      <c r="J84" s="98">
        <v>10491350</v>
      </c>
      <c r="P84" s="98"/>
      <c r="Q84" s="98"/>
      <c r="R84" s="98"/>
      <c r="S84" s="98"/>
      <c r="T84" s="98"/>
    </row>
    <row r="85" spans="1:21" s="46" customFormat="1" ht="15.75" customHeight="1" x14ac:dyDescent="0.25">
      <c r="A85" s="16" t="s">
        <v>199</v>
      </c>
      <c r="B85" s="14">
        <v>793</v>
      </c>
      <c r="C85" s="15" t="s">
        <v>38</v>
      </c>
      <c r="D85" s="15" t="s">
        <v>30</v>
      </c>
      <c r="E85" s="15" t="s">
        <v>412</v>
      </c>
      <c r="F85" s="15" t="s">
        <v>26</v>
      </c>
      <c r="G85" s="81">
        <f t="shared" si="32"/>
        <v>4000000</v>
      </c>
      <c r="H85" s="81">
        <f t="shared" si="32"/>
        <v>4000000</v>
      </c>
      <c r="I85" s="81">
        <f t="shared" si="32"/>
        <v>4000000</v>
      </c>
      <c r="J85" s="98">
        <v>15028150</v>
      </c>
      <c r="P85" s="98"/>
      <c r="Q85" s="98"/>
      <c r="R85" s="98"/>
      <c r="S85" s="98"/>
      <c r="T85" s="98"/>
    </row>
    <row r="86" spans="1:21" s="46" customFormat="1" ht="44.25" customHeight="1" x14ac:dyDescent="0.25">
      <c r="A86" s="16" t="s">
        <v>27</v>
      </c>
      <c r="B86" s="14">
        <v>793</v>
      </c>
      <c r="C86" s="15" t="s">
        <v>38</v>
      </c>
      <c r="D86" s="15" t="s">
        <v>30</v>
      </c>
      <c r="E86" s="15" t="s">
        <v>412</v>
      </c>
      <c r="F86" s="15" t="s">
        <v>28</v>
      </c>
      <c r="G86" s="70">
        <f>прил4.!G529</f>
        <v>4000000</v>
      </c>
      <c r="H86" s="70">
        <f>прил4.!H529</f>
        <v>4000000</v>
      </c>
      <c r="I86" s="70">
        <f>прил4.!I529</f>
        <v>4000000</v>
      </c>
      <c r="J86" s="98">
        <v>5548000</v>
      </c>
      <c r="P86" s="98"/>
      <c r="Q86" s="98"/>
      <c r="R86" s="98"/>
      <c r="S86" s="98"/>
      <c r="T86" s="98"/>
    </row>
    <row r="87" spans="1:21" s="18" customFormat="1" ht="67.5" customHeight="1" x14ac:dyDescent="0.25">
      <c r="A87" s="16" t="s">
        <v>381</v>
      </c>
      <c r="B87" s="14">
        <v>793</v>
      </c>
      <c r="C87" s="15" t="s">
        <v>38</v>
      </c>
      <c r="D87" s="15" t="s">
        <v>79</v>
      </c>
      <c r="E87" s="15" t="s">
        <v>71</v>
      </c>
      <c r="F87" s="15"/>
      <c r="G87" s="70">
        <f>G90</f>
        <v>78792259.060000002</v>
      </c>
      <c r="H87" s="70">
        <f t="shared" ref="H87:U87" si="33">H90</f>
        <v>73811090.299999997</v>
      </c>
      <c r="I87" s="70">
        <f t="shared" si="33"/>
        <v>89316964.900000006</v>
      </c>
      <c r="J87" s="70">
        <f t="shared" si="33"/>
        <v>0</v>
      </c>
      <c r="K87" s="70" t="str">
        <f t="shared" si="33"/>
        <v>АКЦИЗЫ</v>
      </c>
      <c r="L87" s="70">
        <f t="shared" si="33"/>
        <v>0</v>
      </c>
      <c r="M87" s="70">
        <f t="shared" si="33"/>
        <v>26808448</v>
      </c>
      <c r="N87" s="70">
        <f t="shared" si="33"/>
        <v>0</v>
      </c>
      <c r="O87" s="70">
        <f t="shared" si="33"/>
        <v>0</v>
      </c>
      <c r="P87" s="70">
        <f t="shared" si="33"/>
        <v>0</v>
      </c>
      <c r="Q87" s="70">
        <f t="shared" si="33"/>
        <v>0</v>
      </c>
      <c r="R87" s="70">
        <f t="shared" si="33"/>
        <v>0</v>
      </c>
      <c r="S87" s="70">
        <f t="shared" si="33"/>
        <v>0</v>
      </c>
      <c r="T87" s="70">
        <f t="shared" si="33"/>
        <v>0</v>
      </c>
      <c r="U87" s="70">
        <f t="shared" si="33"/>
        <v>0</v>
      </c>
    </row>
    <row r="88" spans="1:21" s="18" customFormat="1" ht="62.25" customHeight="1" x14ac:dyDescent="0.25">
      <c r="A88" s="16" t="s">
        <v>381</v>
      </c>
      <c r="B88" s="14">
        <v>793</v>
      </c>
      <c r="C88" s="15" t="s">
        <v>38</v>
      </c>
      <c r="D88" s="15" t="s">
        <v>79</v>
      </c>
      <c r="E88" s="15" t="s">
        <v>323</v>
      </c>
      <c r="F88" s="15"/>
      <c r="G88" s="70">
        <f t="shared" ref="G88:I89" si="34">G89</f>
        <v>78792259.060000002</v>
      </c>
      <c r="H88" s="70">
        <f t="shared" si="34"/>
        <v>73811090.299999997</v>
      </c>
      <c r="I88" s="70">
        <f t="shared" si="34"/>
        <v>89316964.900000006</v>
      </c>
      <c r="J88" s="136" t="s">
        <v>300</v>
      </c>
    </row>
    <row r="89" spans="1:21" s="18" customFormat="1" ht="15" customHeight="1" x14ac:dyDescent="0.25">
      <c r="A89" s="16" t="s">
        <v>199</v>
      </c>
      <c r="B89" s="14">
        <v>793</v>
      </c>
      <c r="C89" s="15" t="s">
        <v>38</v>
      </c>
      <c r="D89" s="15" t="s">
        <v>79</v>
      </c>
      <c r="E89" s="15" t="s">
        <v>323</v>
      </c>
      <c r="F89" s="15" t="s">
        <v>26</v>
      </c>
      <c r="G89" s="70">
        <f t="shared" si="34"/>
        <v>78792259.060000002</v>
      </c>
      <c r="H89" s="70">
        <f t="shared" si="34"/>
        <v>73811090.299999997</v>
      </c>
      <c r="I89" s="70">
        <f t="shared" si="34"/>
        <v>89316964.900000006</v>
      </c>
      <c r="J89" s="136"/>
    </row>
    <row r="90" spans="1:21" s="18" customFormat="1" ht="32.25" customHeight="1" x14ac:dyDescent="0.25">
      <c r="A90" s="16" t="s">
        <v>27</v>
      </c>
      <c r="B90" s="14">
        <v>793</v>
      </c>
      <c r="C90" s="15" t="s">
        <v>38</v>
      </c>
      <c r="D90" s="15" t="s">
        <v>79</v>
      </c>
      <c r="E90" s="15" t="s">
        <v>323</v>
      </c>
      <c r="F90" s="15" t="s">
        <v>28</v>
      </c>
      <c r="G90" s="70">
        <f>прил4.!G535</f>
        <v>78792259.060000002</v>
      </c>
      <c r="H90" s="70">
        <f>прил4.!H535</f>
        <v>73811090.299999997</v>
      </c>
      <c r="I90" s="70">
        <f>прил4.!I535</f>
        <v>89316964.900000006</v>
      </c>
      <c r="J90" s="136"/>
      <c r="K90" s="18" t="s">
        <v>256</v>
      </c>
      <c r="M90" s="18">
        <v>26808448</v>
      </c>
    </row>
    <row r="91" spans="1:21" s="175" customFormat="1" ht="52.8" x14ac:dyDescent="0.25">
      <c r="A91" s="96" t="s">
        <v>473</v>
      </c>
      <c r="B91" s="36" t="s">
        <v>67</v>
      </c>
      <c r="C91" s="36" t="s">
        <v>17</v>
      </c>
      <c r="D91" s="36" t="s">
        <v>19</v>
      </c>
      <c r="E91" s="36" t="s">
        <v>131</v>
      </c>
      <c r="F91" s="36"/>
      <c r="G91" s="71">
        <f>G92+G102+G105</f>
        <v>500000</v>
      </c>
      <c r="H91" s="71">
        <f t="shared" ref="H91:I91" si="35">H92+H102+H105</f>
        <v>920000</v>
      </c>
      <c r="I91" s="71">
        <f t="shared" si="35"/>
        <v>1160000</v>
      </c>
      <c r="P91" s="174"/>
      <c r="Q91" s="174"/>
      <c r="R91" s="174"/>
      <c r="S91" s="174"/>
      <c r="T91" s="174" t="e">
        <f>прил4.!G558+прил4.!#REF!</f>
        <v>#REF!</v>
      </c>
      <c r="U91" s="174" t="e">
        <f>T91-G91</f>
        <v>#REF!</v>
      </c>
    </row>
    <row r="92" spans="1:21" s="18" customFormat="1" ht="36.75" hidden="1" customHeight="1" x14ac:dyDescent="0.25">
      <c r="A92" s="78" t="s">
        <v>454</v>
      </c>
      <c r="B92" s="14">
        <v>793</v>
      </c>
      <c r="C92" s="15" t="s">
        <v>98</v>
      </c>
      <c r="D92" s="15" t="s">
        <v>10</v>
      </c>
      <c r="E92" s="15" t="s">
        <v>453</v>
      </c>
      <c r="F92" s="79"/>
      <c r="G92" s="81">
        <f>G93+G96+G99</f>
        <v>0</v>
      </c>
      <c r="H92" s="81">
        <f>H93+H96+H97</f>
        <v>0</v>
      </c>
      <c r="I92" s="81">
        <f>I93+I96+I97</f>
        <v>0</v>
      </c>
      <c r="J92" s="137"/>
      <c r="K92" s="154"/>
      <c r="L92" s="154"/>
      <c r="M92" s="154"/>
      <c r="N92" s="154"/>
      <c r="O92" s="154"/>
      <c r="P92" s="154"/>
      <c r="Q92" s="154"/>
      <c r="R92" s="154"/>
    </row>
    <row r="93" spans="1:21" s="18" customFormat="1" ht="60.75" hidden="1" customHeight="1" x14ac:dyDescent="0.25">
      <c r="A93" s="253" t="s">
        <v>432</v>
      </c>
      <c r="B93" s="14">
        <v>795</v>
      </c>
      <c r="C93" s="15" t="s">
        <v>98</v>
      </c>
      <c r="D93" s="15" t="s">
        <v>10</v>
      </c>
      <c r="E93" s="15" t="s">
        <v>265</v>
      </c>
      <c r="F93" s="15"/>
      <c r="G93" s="70">
        <f>G94</f>
        <v>0</v>
      </c>
      <c r="H93" s="70">
        <f t="shared" ref="H93:I93" si="36">H94</f>
        <v>0</v>
      </c>
      <c r="I93" s="70">
        <f t="shared" si="36"/>
        <v>0</v>
      </c>
      <c r="P93" s="17"/>
      <c r="Q93" s="17"/>
      <c r="R93" s="17"/>
      <c r="S93" s="17"/>
      <c r="T93" s="17"/>
    </row>
    <row r="94" spans="1:21" s="18" customFormat="1" ht="20.25" hidden="1" customHeight="1" x14ac:dyDescent="0.25">
      <c r="A94" s="16" t="s">
        <v>43</v>
      </c>
      <c r="B94" s="14">
        <v>795</v>
      </c>
      <c r="C94" s="15" t="s">
        <v>98</v>
      </c>
      <c r="D94" s="15" t="s">
        <v>10</v>
      </c>
      <c r="E94" s="15" t="s">
        <v>265</v>
      </c>
      <c r="F94" s="15" t="s">
        <v>44</v>
      </c>
      <c r="G94" s="70">
        <f>G95</f>
        <v>0</v>
      </c>
      <c r="H94" s="70">
        <f t="shared" ref="H94:I94" si="37">H95</f>
        <v>0</v>
      </c>
      <c r="I94" s="70">
        <f t="shared" si="37"/>
        <v>0</v>
      </c>
      <c r="P94" s="17"/>
      <c r="Q94" s="17"/>
      <c r="R94" s="17"/>
      <c r="S94" s="17"/>
      <c r="T94" s="17"/>
    </row>
    <row r="95" spans="1:21" s="18" customFormat="1" ht="25.95" hidden="1" customHeight="1" x14ac:dyDescent="0.25">
      <c r="A95" s="50" t="s">
        <v>83</v>
      </c>
      <c r="B95" s="14">
        <v>795</v>
      </c>
      <c r="C95" s="15" t="s">
        <v>98</v>
      </c>
      <c r="D95" s="15" t="s">
        <v>10</v>
      </c>
      <c r="E95" s="15" t="s">
        <v>265</v>
      </c>
      <c r="F95" s="15" t="s">
        <v>46</v>
      </c>
      <c r="G95" s="70">
        <f>прил4.!G565</f>
        <v>0</v>
      </c>
      <c r="H95" s="70">
        <f>прил4.!H565</f>
        <v>0</v>
      </c>
      <c r="I95" s="70">
        <f>прил4.!I565</f>
        <v>0</v>
      </c>
      <c r="P95" s="17"/>
      <c r="Q95" s="17"/>
      <c r="R95" s="17"/>
      <c r="S95" s="17"/>
      <c r="T95" s="17"/>
    </row>
    <row r="96" spans="1:21" s="18" customFormat="1" ht="42" hidden="1" customHeight="1" x14ac:dyDescent="0.25">
      <c r="A96" s="253" t="s">
        <v>431</v>
      </c>
      <c r="B96" s="14">
        <v>795</v>
      </c>
      <c r="C96" s="15" t="s">
        <v>98</v>
      </c>
      <c r="D96" s="15" t="s">
        <v>10</v>
      </c>
      <c r="E96" s="15" t="s">
        <v>266</v>
      </c>
      <c r="F96" s="15"/>
      <c r="G96" s="70">
        <f>G97</f>
        <v>0</v>
      </c>
      <c r="H96" s="70">
        <f t="shared" ref="H96:I96" si="38">H97</f>
        <v>0</v>
      </c>
      <c r="I96" s="70">
        <f t="shared" si="38"/>
        <v>0</v>
      </c>
      <c r="P96" s="17"/>
      <c r="Q96" s="17"/>
      <c r="R96" s="17"/>
      <c r="S96" s="17"/>
      <c r="T96" s="17"/>
    </row>
    <row r="97" spans="1:22" s="18" customFormat="1" ht="21.75" hidden="1" customHeight="1" x14ac:dyDescent="0.25">
      <c r="A97" s="16" t="s">
        <v>43</v>
      </c>
      <c r="B97" s="14">
        <v>795</v>
      </c>
      <c r="C97" s="15" t="s">
        <v>98</v>
      </c>
      <c r="D97" s="15" t="s">
        <v>10</v>
      </c>
      <c r="E97" s="15" t="s">
        <v>266</v>
      </c>
      <c r="F97" s="15" t="s">
        <v>44</v>
      </c>
      <c r="G97" s="70">
        <f>G98</f>
        <v>0</v>
      </c>
      <c r="H97" s="70">
        <f t="shared" ref="H97:I97" si="39">H98</f>
        <v>0</v>
      </c>
      <c r="I97" s="70">
        <f t="shared" si="39"/>
        <v>0</v>
      </c>
      <c r="P97" s="17"/>
      <c r="Q97" s="17"/>
      <c r="R97" s="17"/>
      <c r="S97" s="17"/>
      <c r="T97" s="17"/>
    </row>
    <row r="98" spans="1:22" s="18" customFormat="1" ht="23.25" hidden="1" customHeight="1" x14ac:dyDescent="0.25">
      <c r="A98" s="50" t="s">
        <v>83</v>
      </c>
      <c r="B98" s="14">
        <v>795</v>
      </c>
      <c r="C98" s="15" t="s">
        <v>98</v>
      </c>
      <c r="D98" s="15" t="s">
        <v>10</v>
      </c>
      <c r="E98" s="15" t="s">
        <v>266</v>
      </c>
      <c r="F98" s="15" t="s">
        <v>46</v>
      </c>
      <c r="G98" s="70">
        <f>прил4.!G568</f>
        <v>0</v>
      </c>
      <c r="H98" s="70">
        <f>прил4.!H568</f>
        <v>0</v>
      </c>
      <c r="I98" s="70">
        <f>прил4.!I568</f>
        <v>0</v>
      </c>
      <c r="P98" s="17"/>
      <c r="Q98" s="17"/>
      <c r="R98" s="17"/>
      <c r="S98" s="17"/>
      <c r="T98" s="17"/>
    </row>
    <row r="99" spans="1:22" s="18" customFormat="1" ht="84.75" hidden="1" customHeight="1" x14ac:dyDescent="0.25">
      <c r="A99" s="78" t="s">
        <v>333</v>
      </c>
      <c r="B99" s="14">
        <v>793</v>
      </c>
      <c r="C99" s="15" t="s">
        <v>98</v>
      </c>
      <c r="D99" s="15" t="s">
        <v>10</v>
      </c>
      <c r="E99" s="15" t="s">
        <v>332</v>
      </c>
      <c r="F99" s="15"/>
      <c r="G99" s="70">
        <f>G100</f>
        <v>0</v>
      </c>
      <c r="H99" s="70">
        <f t="shared" ref="H99:I100" si="40">H100</f>
        <v>0</v>
      </c>
      <c r="I99" s="70">
        <f t="shared" si="40"/>
        <v>0</v>
      </c>
      <c r="J99" s="137"/>
      <c r="K99" s="154"/>
      <c r="L99" s="154"/>
      <c r="M99" s="154"/>
      <c r="N99" s="154"/>
      <c r="O99" s="154"/>
      <c r="P99" s="154"/>
      <c r="Q99" s="154"/>
      <c r="R99" s="154"/>
    </row>
    <row r="100" spans="1:22" s="18" customFormat="1" ht="22.5" hidden="1" customHeight="1" x14ac:dyDescent="0.25">
      <c r="A100" s="78" t="s">
        <v>43</v>
      </c>
      <c r="B100" s="14">
        <v>793</v>
      </c>
      <c r="C100" s="15" t="s">
        <v>98</v>
      </c>
      <c r="D100" s="15" t="s">
        <v>10</v>
      </c>
      <c r="E100" s="15" t="s">
        <v>332</v>
      </c>
      <c r="F100" s="15" t="s">
        <v>44</v>
      </c>
      <c r="G100" s="70">
        <f>G101</f>
        <v>0</v>
      </c>
      <c r="H100" s="70">
        <f t="shared" si="40"/>
        <v>0</v>
      </c>
      <c r="I100" s="70">
        <f t="shared" si="40"/>
        <v>0</v>
      </c>
      <c r="J100" s="137"/>
      <c r="K100" s="154"/>
      <c r="L100" s="154"/>
      <c r="M100" s="154"/>
      <c r="N100" s="154"/>
      <c r="O100" s="154"/>
      <c r="P100" s="154"/>
      <c r="Q100" s="154"/>
      <c r="R100" s="154"/>
    </row>
    <row r="101" spans="1:22" s="18" customFormat="1" ht="22.5" hidden="1" customHeight="1" x14ac:dyDescent="0.25">
      <c r="A101" s="109" t="s">
        <v>83</v>
      </c>
      <c r="B101" s="14">
        <v>793</v>
      </c>
      <c r="C101" s="15" t="s">
        <v>98</v>
      </c>
      <c r="D101" s="15" t="s">
        <v>10</v>
      </c>
      <c r="E101" s="15" t="s">
        <v>332</v>
      </c>
      <c r="F101" s="15" t="s">
        <v>46</v>
      </c>
      <c r="G101" s="70">
        <f>прил4.!G571</f>
        <v>0</v>
      </c>
      <c r="H101" s="70">
        <f>прил4.!H571</f>
        <v>0</v>
      </c>
      <c r="I101" s="70">
        <f>прил4.!I571</f>
        <v>0</v>
      </c>
      <c r="J101" s="137"/>
      <c r="K101" s="154"/>
      <c r="L101" s="154"/>
      <c r="M101" s="154"/>
      <c r="N101" s="154"/>
      <c r="O101" s="154"/>
      <c r="P101" s="154"/>
      <c r="Q101" s="154"/>
      <c r="R101" s="154"/>
    </row>
    <row r="102" spans="1:22" s="46" customFormat="1" ht="48.75" customHeight="1" x14ac:dyDescent="0.25">
      <c r="A102" s="16" t="s">
        <v>394</v>
      </c>
      <c r="B102" s="14">
        <v>793</v>
      </c>
      <c r="C102" s="15" t="s">
        <v>98</v>
      </c>
      <c r="D102" s="15" t="s">
        <v>10</v>
      </c>
      <c r="E102" s="15" t="s">
        <v>234</v>
      </c>
      <c r="F102" s="15"/>
      <c r="G102" s="70">
        <f>G103</f>
        <v>0</v>
      </c>
      <c r="H102" s="70">
        <f t="shared" ref="H102:I102" si="41">H103</f>
        <v>420000</v>
      </c>
      <c r="I102" s="70">
        <f t="shared" si="41"/>
        <v>660000</v>
      </c>
      <c r="P102" s="98"/>
      <c r="Q102" s="98"/>
      <c r="R102" s="98"/>
      <c r="S102" s="98"/>
      <c r="T102" s="98"/>
    </row>
    <row r="103" spans="1:22" s="46" customFormat="1" ht="31.5" customHeight="1" x14ac:dyDescent="0.25">
      <c r="A103" s="16" t="s">
        <v>199</v>
      </c>
      <c r="B103" s="14">
        <v>793</v>
      </c>
      <c r="C103" s="15" t="s">
        <v>98</v>
      </c>
      <c r="D103" s="15" t="s">
        <v>10</v>
      </c>
      <c r="E103" s="15" t="s">
        <v>234</v>
      </c>
      <c r="F103" s="15" t="s">
        <v>26</v>
      </c>
      <c r="G103" s="70">
        <f t="shared" ref="G103:I103" si="42">G104</f>
        <v>0</v>
      </c>
      <c r="H103" s="70">
        <f t="shared" si="42"/>
        <v>420000</v>
      </c>
      <c r="I103" s="70">
        <f t="shared" si="42"/>
        <v>660000</v>
      </c>
      <c r="P103" s="98"/>
      <c r="Q103" s="98"/>
      <c r="R103" s="98"/>
      <c r="S103" s="98"/>
      <c r="T103" s="98"/>
    </row>
    <row r="104" spans="1:22" s="46" customFormat="1" ht="28.5" customHeight="1" x14ac:dyDescent="0.25">
      <c r="A104" s="16" t="s">
        <v>27</v>
      </c>
      <c r="B104" s="14">
        <v>793</v>
      </c>
      <c r="C104" s="15" t="s">
        <v>98</v>
      </c>
      <c r="D104" s="15" t="s">
        <v>10</v>
      </c>
      <c r="E104" s="15" t="s">
        <v>234</v>
      </c>
      <c r="F104" s="15" t="s">
        <v>28</v>
      </c>
      <c r="G104" s="70">
        <f>прил4.!G561</f>
        <v>0</v>
      </c>
      <c r="H104" s="70">
        <f>прил4.!H561</f>
        <v>420000</v>
      </c>
      <c r="I104" s="70">
        <f>прил4.!I561</f>
        <v>660000</v>
      </c>
      <c r="P104" s="98"/>
      <c r="Q104" s="98"/>
      <c r="R104" s="98"/>
      <c r="S104" s="98"/>
      <c r="T104" s="98"/>
    </row>
    <row r="105" spans="1:22" s="18" customFormat="1" ht="25.5" customHeight="1" x14ac:dyDescent="0.25">
      <c r="A105" s="16" t="s">
        <v>425</v>
      </c>
      <c r="B105" s="14">
        <v>793</v>
      </c>
      <c r="C105" s="15" t="s">
        <v>98</v>
      </c>
      <c r="D105" s="15" t="s">
        <v>10</v>
      </c>
      <c r="E105" s="15" t="s">
        <v>376</v>
      </c>
      <c r="F105" s="15"/>
      <c r="G105" s="70">
        <f t="shared" ref="G105:I106" si="43">G106</f>
        <v>500000</v>
      </c>
      <c r="H105" s="70">
        <f t="shared" si="43"/>
        <v>500000</v>
      </c>
      <c r="I105" s="70">
        <f t="shared" si="43"/>
        <v>500000</v>
      </c>
      <c r="J105" s="136"/>
      <c r="K105" s="141"/>
      <c r="L105" s="141"/>
      <c r="M105" s="141"/>
      <c r="N105" s="141"/>
      <c r="O105" s="141"/>
      <c r="P105" s="141"/>
      <c r="Q105" s="141"/>
      <c r="R105" s="141"/>
    </row>
    <row r="106" spans="1:22" ht="30.75" customHeight="1" x14ac:dyDescent="0.25">
      <c r="A106" s="16" t="s">
        <v>25</v>
      </c>
      <c r="B106" s="14">
        <v>793</v>
      </c>
      <c r="C106" s="15" t="s">
        <v>98</v>
      </c>
      <c r="D106" s="15" t="s">
        <v>10</v>
      </c>
      <c r="E106" s="15" t="s">
        <v>376</v>
      </c>
      <c r="F106" s="15" t="s">
        <v>26</v>
      </c>
      <c r="G106" s="70">
        <f t="shared" si="43"/>
        <v>500000</v>
      </c>
      <c r="H106" s="70">
        <f t="shared" si="43"/>
        <v>500000</v>
      </c>
      <c r="I106" s="70">
        <f t="shared" si="43"/>
        <v>500000</v>
      </c>
      <c r="J106" s="136"/>
      <c r="K106" s="69"/>
      <c r="L106" s="69"/>
      <c r="M106" s="69"/>
      <c r="N106" s="69"/>
      <c r="O106" s="69"/>
      <c r="P106" s="69"/>
      <c r="Q106" s="180"/>
      <c r="R106" s="69"/>
      <c r="S106" s="1"/>
      <c r="T106" s="1"/>
    </row>
    <row r="107" spans="1:22" s="18" customFormat="1" ht="34.5" customHeight="1" x14ac:dyDescent="0.25">
      <c r="A107" s="16" t="s">
        <v>27</v>
      </c>
      <c r="B107" s="14">
        <v>793</v>
      </c>
      <c r="C107" s="15" t="s">
        <v>98</v>
      </c>
      <c r="D107" s="15" t="s">
        <v>10</v>
      </c>
      <c r="E107" s="15" t="s">
        <v>376</v>
      </c>
      <c r="F107" s="15" t="s">
        <v>28</v>
      </c>
      <c r="G107" s="70">
        <f>прил4.!G574</f>
        <v>500000</v>
      </c>
      <c r="H107" s="70">
        <f>прил4.!H574</f>
        <v>500000</v>
      </c>
      <c r="I107" s="70">
        <f>прил4.!I574</f>
        <v>500000</v>
      </c>
      <c r="J107" s="136"/>
      <c r="K107" s="141"/>
      <c r="L107" s="141"/>
      <c r="M107" s="141"/>
      <c r="N107" s="141"/>
      <c r="O107" s="141"/>
      <c r="P107" s="141"/>
      <c r="Q107" s="141"/>
      <c r="R107" s="141"/>
    </row>
    <row r="108" spans="1:22" s="175" customFormat="1" ht="31.5" customHeight="1" x14ac:dyDescent="0.25">
      <c r="A108" s="96" t="s">
        <v>362</v>
      </c>
      <c r="B108" s="35">
        <v>774</v>
      </c>
      <c r="C108" s="36" t="s">
        <v>17</v>
      </c>
      <c r="D108" s="36" t="s">
        <v>10</v>
      </c>
      <c r="E108" s="36" t="s">
        <v>108</v>
      </c>
      <c r="F108" s="36"/>
      <c r="G108" s="127">
        <f t="shared" ref="G108:U108" si="44">G109+G179+G197+G204+G208</f>
        <v>1318540683.49</v>
      </c>
      <c r="H108" s="127">
        <f t="shared" si="44"/>
        <v>1351826893.9099998</v>
      </c>
      <c r="I108" s="127">
        <f t="shared" si="44"/>
        <v>1399142226.4799998</v>
      </c>
      <c r="J108" s="127">
        <f t="shared" si="44"/>
        <v>18738720</v>
      </c>
      <c r="K108" s="127">
        <f t="shared" si="44"/>
        <v>0</v>
      </c>
      <c r="L108" s="127">
        <f t="shared" si="44"/>
        <v>0</v>
      </c>
      <c r="M108" s="127">
        <f t="shared" si="44"/>
        <v>0</v>
      </c>
      <c r="N108" s="127">
        <f t="shared" si="44"/>
        <v>0</v>
      </c>
      <c r="O108" s="127">
        <f t="shared" si="44"/>
        <v>0</v>
      </c>
      <c r="P108" s="127">
        <f t="shared" si="44"/>
        <v>0</v>
      </c>
      <c r="Q108" s="127">
        <f t="shared" si="44"/>
        <v>0</v>
      </c>
      <c r="R108" s="127">
        <f t="shared" si="44"/>
        <v>0</v>
      </c>
      <c r="S108" s="127">
        <f t="shared" si="44"/>
        <v>0</v>
      </c>
      <c r="T108" s="127">
        <f t="shared" si="44"/>
        <v>0</v>
      </c>
      <c r="U108" s="127">
        <f t="shared" si="44"/>
        <v>0</v>
      </c>
    </row>
    <row r="109" spans="1:22" s="18" customFormat="1" ht="42.75" customHeight="1" x14ac:dyDescent="0.25">
      <c r="A109" s="78" t="s">
        <v>386</v>
      </c>
      <c r="B109" s="14">
        <v>774</v>
      </c>
      <c r="C109" s="15" t="s">
        <v>17</v>
      </c>
      <c r="D109" s="15" t="s">
        <v>10</v>
      </c>
      <c r="E109" s="15" t="s">
        <v>132</v>
      </c>
      <c r="F109" s="15"/>
      <c r="G109" s="70">
        <f>G116+G119+G122+G125+G131+G134+G137+G140+G143+G146+G149+G152+G155+G160+G163+G166+G169+G176+G112</f>
        <v>1275645340.5999999</v>
      </c>
      <c r="H109" s="70">
        <f>H116+H119+H122+H125+H131+H134+H137+H140+H143+H146+H149+H152+H155+H160+H163+H166+H169+H176+H112</f>
        <v>1318673006.5599999</v>
      </c>
      <c r="I109" s="70">
        <f>I116+I119+I122+I125+I131+I134+I137+I140+I143+I146+I149+I152+I155+I160+I163+I166+I169+I176+I112</f>
        <v>1364962574.55</v>
      </c>
      <c r="J109" s="17">
        <v>18738720</v>
      </c>
      <c r="P109" s="17"/>
      <c r="Q109" s="17"/>
      <c r="R109" s="17"/>
      <c r="S109" s="17"/>
      <c r="T109" s="17"/>
      <c r="V109" s="17">
        <f>G115+G118+G124+G127+G130+G133+G136+G139+G142+G145+G148+G151+G154+G157+G162+G165+G168+G169+G178</f>
        <v>1275645340.5999999</v>
      </c>
    </row>
    <row r="110" spans="1:22" s="28" customFormat="1" ht="16.5" customHeight="1" x14ac:dyDescent="0.25">
      <c r="A110" s="272" t="s">
        <v>515</v>
      </c>
      <c r="B110" s="79" t="s">
        <v>67</v>
      </c>
      <c r="C110" s="79" t="s">
        <v>17</v>
      </c>
      <c r="D110" s="79" t="s">
        <v>17</v>
      </c>
      <c r="E110" s="79" t="s">
        <v>514</v>
      </c>
      <c r="F110" s="133"/>
      <c r="G110" s="81">
        <f>G111</f>
        <v>4443457.79</v>
      </c>
      <c r="H110" s="81">
        <f t="shared" ref="H110:I110" si="45">H111</f>
        <v>5315495.72</v>
      </c>
      <c r="I110" s="81">
        <f t="shared" si="45"/>
        <v>5315495.72</v>
      </c>
      <c r="J110" s="137"/>
      <c r="K110" s="156"/>
      <c r="L110" s="156"/>
      <c r="M110" s="156"/>
      <c r="N110" s="156"/>
      <c r="O110" s="156"/>
      <c r="P110" s="156"/>
      <c r="Q110" s="156"/>
      <c r="R110" s="156"/>
    </row>
    <row r="111" spans="1:22" s="18" customFormat="1" x14ac:dyDescent="0.25">
      <c r="A111" s="272" t="s">
        <v>488</v>
      </c>
      <c r="B111" s="79" t="s">
        <v>67</v>
      </c>
      <c r="C111" s="79" t="s">
        <v>17</v>
      </c>
      <c r="D111" s="79" t="s">
        <v>17</v>
      </c>
      <c r="E111" s="79" t="s">
        <v>489</v>
      </c>
      <c r="F111" s="79"/>
      <c r="G111" s="81">
        <f>G112</f>
        <v>4443457.79</v>
      </c>
      <c r="H111" s="81">
        <f t="shared" ref="H111:I111" si="46">H112</f>
        <v>5315495.72</v>
      </c>
      <c r="I111" s="81">
        <f t="shared" si="46"/>
        <v>5315495.72</v>
      </c>
      <c r="J111" s="137"/>
      <c r="K111" s="154"/>
      <c r="L111" s="154"/>
      <c r="M111" s="154"/>
      <c r="N111" s="154"/>
      <c r="O111" s="154"/>
      <c r="P111" s="154"/>
      <c r="Q111" s="154"/>
      <c r="R111" s="154"/>
    </row>
    <row r="112" spans="1:22" s="18" customFormat="1" ht="26.4" x14ac:dyDescent="0.25">
      <c r="A112" s="78" t="s">
        <v>487</v>
      </c>
      <c r="B112" s="79" t="s">
        <v>67</v>
      </c>
      <c r="C112" s="79" t="s">
        <v>17</v>
      </c>
      <c r="D112" s="79" t="s">
        <v>17</v>
      </c>
      <c r="E112" s="79" t="s">
        <v>490</v>
      </c>
      <c r="F112" s="79"/>
      <c r="G112" s="81">
        <f>G113</f>
        <v>4443457.79</v>
      </c>
      <c r="H112" s="81">
        <f t="shared" ref="H112:I112" si="47">H113</f>
        <v>5315495.72</v>
      </c>
      <c r="I112" s="81">
        <f t="shared" si="47"/>
        <v>5315495.72</v>
      </c>
      <c r="J112" s="137"/>
      <c r="K112" s="154"/>
      <c r="L112" s="154"/>
      <c r="M112" s="154"/>
      <c r="N112" s="154"/>
      <c r="O112" s="154"/>
      <c r="P112" s="154"/>
      <c r="Q112" s="154"/>
      <c r="R112" s="154"/>
      <c r="V112" s="17">
        <f>V109-G109</f>
        <v>0</v>
      </c>
    </row>
    <row r="113" spans="1:20" ht="85.5" customHeight="1" x14ac:dyDescent="0.25">
      <c r="A113" s="276" t="s">
        <v>491</v>
      </c>
      <c r="B113" s="79" t="s">
        <v>67</v>
      </c>
      <c r="C113" s="79" t="s">
        <v>17</v>
      </c>
      <c r="D113" s="79" t="s">
        <v>17</v>
      </c>
      <c r="E113" s="79" t="s">
        <v>490</v>
      </c>
      <c r="F113" s="79"/>
      <c r="G113" s="81">
        <f t="shared" ref="G113:I114" si="48">G114</f>
        <v>4443457.79</v>
      </c>
      <c r="H113" s="81">
        <f t="shared" si="48"/>
        <v>5315495.72</v>
      </c>
      <c r="I113" s="81">
        <f t="shared" si="48"/>
        <v>5315495.72</v>
      </c>
      <c r="J113" s="137"/>
      <c r="K113" s="137"/>
      <c r="L113" s="137"/>
      <c r="M113" s="142"/>
      <c r="N113" s="142"/>
      <c r="O113" s="142"/>
      <c r="P113" s="142"/>
      <c r="Q113" s="160"/>
      <c r="R113" s="142"/>
      <c r="S113" s="1"/>
      <c r="T113" s="1"/>
    </row>
    <row r="114" spans="1:20" s="18" customFormat="1" ht="26.4" x14ac:dyDescent="0.25">
      <c r="A114" s="78" t="s">
        <v>21</v>
      </c>
      <c r="B114" s="79" t="s">
        <v>67</v>
      </c>
      <c r="C114" s="79" t="s">
        <v>17</v>
      </c>
      <c r="D114" s="79" t="s">
        <v>17</v>
      </c>
      <c r="E114" s="79" t="s">
        <v>490</v>
      </c>
      <c r="F114" s="79" t="s">
        <v>22</v>
      </c>
      <c r="G114" s="81">
        <f t="shared" si="48"/>
        <v>4443457.79</v>
      </c>
      <c r="H114" s="81">
        <f t="shared" si="48"/>
        <v>5315495.72</v>
      </c>
      <c r="I114" s="81">
        <f t="shared" si="48"/>
        <v>5315495.72</v>
      </c>
      <c r="J114" s="137"/>
      <c r="K114" s="154"/>
      <c r="L114" s="154"/>
      <c r="M114" s="164"/>
      <c r="N114" s="164"/>
      <c r="O114" s="154"/>
      <c r="P114" s="154"/>
      <c r="Q114" s="164"/>
      <c r="R114" s="154"/>
    </row>
    <row r="115" spans="1:20" s="18" customFormat="1" x14ac:dyDescent="0.25">
      <c r="A115" s="78" t="s">
        <v>23</v>
      </c>
      <c r="B115" s="79" t="s">
        <v>67</v>
      </c>
      <c r="C115" s="79" t="s">
        <v>17</v>
      </c>
      <c r="D115" s="79" t="s">
        <v>17</v>
      </c>
      <c r="E115" s="79" t="s">
        <v>490</v>
      </c>
      <c r="F115" s="79" t="s">
        <v>24</v>
      </c>
      <c r="G115" s="70">
        <f>прил4.!G301</f>
        <v>4443457.79</v>
      </c>
      <c r="H115" s="81">
        <f>прил4.!H301</f>
        <v>5315495.72</v>
      </c>
      <c r="I115" s="81">
        <f>прил4.!I301</f>
        <v>5315495.72</v>
      </c>
      <c r="J115" s="137"/>
      <c r="K115" s="154"/>
      <c r="L115" s="154"/>
      <c r="M115" s="154"/>
      <c r="N115" s="154"/>
      <c r="O115" s="154"/>
      <c r="P115" s="154"/>
      <c r="Q115" s="154"/>
      <c r="R115" s="154"/>
    </row>
    <row r="116" spans="1:20" s="18" customFormat="1" ht="102.75" customHeight="1" x14ac:dyDescent="0.25">
      <c r="A116" s="117" t="s">
        <v>497</v>
      </c>
      <c r="B116" s="15" t="s">
        <v>67</v>
      </c>
      <c r="C116" s="15" t="s">
        <v>17</v>
      </c>
      <c r="D116" s="15" t="s">
        <v>19</v>
      </c>
      <c r="E116" s="15" t="s">
        <v>246</v>
      </c>
      <c r="F116" s="15"/>
      <c r="G116" s="81">
        <f t="shared" ref="G116:I117" si="49">G117</f>
        <v>697755</v>
      </c>
      <c r="H116" s="81">
        <f t="shared" si="49"/>
        <v>412800</v>
      </c>
      <c r="I116" s="81">
        <f t="shared" si="49"/>
        <v>412800</v>
      </c>
      <c r="J116" s="17">
        <v>188298123</v>
      </c>
      <c r="P116" s="17"/>
      <c r="Q116" s="17"/>
      <c r="R116" s="17"/>
      <c r="S116" s="17"/>
      <c r="T116" s="17"/>
    </row>
    <row r="117" spans="1:20" s="18" customFormat="1" ht="29.25" customHeight="1" x14ac:dyDescent="0.25">
      <c r="A117" s="78" t="s">
        <v>21</v>
      </c>
      <c r="B117" s="15" t="s">
        <v>67</v>
      </c>
      <c r="C117" s="15" t="s">
        <v>17</v>
      </c>
      <c r="D117" s="15" t="s">
        <v>19</v>
      </c>
      <c r="E117" s="15" t="s">
        <v>246</v>
      </c>
      <c r="F117" s="15" t="s">
        <v>22</v>
      </c>
      <c r="G117" s="81">
        <f t="shared" si="49"/>
        <v>697755</v>
      </c>
      <c r="H117" s="81">
        <f t="shared" si="49"/>
        <v>412800</v>
      </c>
      <c r="I117" s="81">
        <f t="shared" si="49"/>
        <v>412800</v>
      </c>
      <c r="J117" s="17">
        <v>100473040</v>
      </c>
      <c r="P117" s="17"/>
      <c r="Q117" s="17"/>
      <c r="R117" s="17"/>
      <c r="S117" s="17"/>
      <c r="T117" s="17"/>
    </row>
    <row r="118" spans="1:20" s="18" customFormat="1" ht="19.5" customHeight="1" x14ac:dyDescent="0.25">
      <c r="A118" s="78" t="s">
        <v>23</v>
      </c>
      <c r="B118" s="15" t="s">
        <v>67</v>
      </c>
      <c r="C118" s="15" t="s">
        <v>17</v>
      </c>
      <c r="D118" s="15" t="s">
        <v>19</v>
      </c>
      <c r="E118" s="15" t="s">
        <v>246</v>
      </c>
      <c r="F118" s="15" t="s">
        <v>24</v>
      </c>
      <c r="G118" s="70">
        <f>прил4.!G341</f>
        <v>697755</v>
      </c>
      <c r="H118" s="81">
        <f>прил4.!H341</f>
        <v>412800</v>
      </c>
      <c r="I118" s="81">
        <f>прил4.!I341</f>
        <v>412800</v>
      </c>
      <c r="J118" s="17">
        <v>1481975</v>
      </c>
      <c r="P118" s="17"/>
      <c r="Q118" s="17"/>
      <c r="R118" s="17"/>
      <c r="S118" s="17"/>
      <c r="T118" s="17"/>
    </row>
    <row r="119" spans="1:20" s="18" customFormat="1" ht="65.25" hidden="1" customHeight="1" x14ac:dyDescent="0.25">
      <c r="A119" s="117" t="s">
        <v>320</v>
      </c>
      <c r="B119" s="15" t="s">
        <v>67</v>
      </c>
      <c r="C119" s="15" t="s">
        <v>17</v>
      </c>
      <c r="D119" s="15" t="s">
        <v>19</v>
      </c>
      <c r="E119" s="15" t="s">
        <v>293</v>
      </c>
      <c r="F119" s="15"/>
      <c r="G119" s="70">
        <f t="shared" ref="G119:I120" si="50">G120</f>
        <v>0</v>
      </c>
      <c r="H119" s="81">
        <f t="shared" si="50"/>
        <v>0</v>
      </c>
      <c r="I119" s="81">
        <f t="shared" si="50"/>
        <v>0</v>
      </c>
      <c r="P119" s="17"/>
      <c r="Q119" s="17"/>
      <c r="R119" s="17"/>
      <c r="S119" s="17"/>
      <c r="T119" s="17"/>
    </row>
    <row r="120" spans="1:20" s="18" customFormat="1" ht="26.4" hidden="1" x14ac:dyDescent="0.25">
      <c r="A120" s="78" t="s">
        <v>21</v>
      </c>
      <c r="B120" s="15" t="s">
        <v>67</v>
      </c>
      <c r="C120" s="15" t="s">
        <v>17</v>
      </c>
      <c r="D120" s="15" t="s">
        <v>19</v>
      </c>
      <c r="E120" s="15" t="s">
        <v>293</v>
      </c>
      <c r="F120" s="15" t="s">
        <v>22</v>
      </c>
      <c r="G120" s="70">
        <f t="shared" si="50"/>
        <v>0</v>
      </c>
      <c r="H120" s="81">
        <f t="shared" si="50"/>
        <v>0</v>
      </c>
      <c r="I120" s="81">
        <f t="shared" si="50"/>
        <v>0</v>
      </c>
      <c r="P120" s="17"/>
      <c r="Q120" s="17"/>
      <c r="R120" s="17"/>
      <c r="S120" s="17"/>
      <c r="T120" s="17"/>
    </row>
    <row r="121" spans="1:20" s="18" customFormat="1" hidden="1" x14ac:dyDescent="0.25">
      <c r="A121" s="78" t="s">
        <v>23</v>
      </c>
      <c r="B121" s="15" t="s">
        <v>67</v>
      </c>
      <c r="C121" s="15" t="s">
        <v>17</v>
      </c>
      <c r="D121" s="15" t="s">
        <v>19</v>
      </c>
      <c r="E121" s="15" t="s">
        <v>293</v>
      </c>
      <c r="F121" s="15" t="s">
        <v>24</v>
      </c>
      <c r="G121" s="70">
        <f>прил4.!G223</f>
        <v>0</v>
      </c>
      <c r="H121" s="81">
        <f>прил4.!H223</f>
        <v>0</v>
      </c>
      <c r="I121" s="81">
        <f>прил4.!I223</f>
        <v>0</v>
      </c>
      <c r="P121" s="17"/>
      <c r="Q121" s="17"/>
      <c r="R121" s="17"/>
      <c r="S121" s="17"/>
      <c r="T121" s="17"/>
    </row>
    <row r="122" spans="1:20" s="18" customFormat="1" ht="116.25" customHeight="1" x14ac:dyDescent="0.25">
      <c r="A122" s="117" t="s">
        <v>495</v>
      </c>
      <c r="B122" s="15"/>
      <c r="C122" s="15"/>
      <c r="D122" s="15"/>
      <c r="E122" s="79" t="s">
        <v>446</v>
      </c>
      <c r="F122" s="15"/>
      <c r="G122" s="70">
        <f>G123</f>
        <v>53060044.450000003</v>
      </c>
      <c r="H122" s="81">
        <f t="shared" ref="G122:I123" si="51">H123</f>
        <v>71909938.329999998</v>
      </c>
      <c r="I122" s="81">
        <f t="shared" si="51"/>
        <v>74786335.870000005</v>
      </c>
      <c r="J122" s="17">
        <v>1277362</v>
      </c>
      <c r="P122" s="17"/>
      <c r="Q122" s="17"/>
      <c r="R122" s="17"/>
      <c r="S122" s="17"/>
      <c r="T122" s="17"/>
    </row>
    <row r="123" spans="1:20" s="18" customFormat="1" ht="31.5" customHeight="1" x14ac:dyDescent="0.25">
      <c r="A123" s="78" t="s">
        <v>21</v>
      </c>
      <c r="B123" s="15" t="s">
        <v>67</v>
      </c>
      <c r="C123" s="15" t="s">
        <v>17</v>
      </c>
      <c r="D123" s="15" t="s">
        <v>19</v>
      </c>
      <c r="E123" s="79" t="s">
        <v>446</v>
      </c>
      <c r="F123" s="15" t="s">
        <v>22</v>
      </c>
      <c r="G123" s="70">
        <f t="shared" si="51"/>
        <v>53060044.450000003</v>
      </c>
      <c r="H123" s="81">
        <f t="shared" si="51"/>
        <v>71909938.329999998</v>
      </c>
      <c r="I123" s="81">
        <f t="shared" si="51"/>
        <v>74786335.870000005</v>
      </c>
      <c r="J123" s="17">
        <v>442381</v>
      </c>
      <c r="P123" s="17"/>
      <c r="Q123" s="17"/>
      <c r="R123" s="17"/>
      <c r="S123" s="17"/>
      <c r="T123" s="17"/>
    </row>
    <row r="124" spans="1:20" s="18" customFormat="1" ht="21" customHeight="1" x14ac:dyDescent="0.25">
      <c r="A124" s="78" t="s">
        <v>23</v>
      </c>
      <c r="B124" s="15" t="s">
        <v>67</v>
      </c>
      <c r="C124" s="15" t="s">
        <v>17</v>
      </c>
      <c r="D124" s="15" t="s">
        <v>19</v>
      </c>
      <c r="E124" s="79" t="s">
        <v>446</v>
      </c>
      <c r="F124" s="15" t="s">
        <v>24</v>
      </c>
      <c r="G124" s="70">
        <f>прил4.!G211+прил4.!G177+прил4.!G263+прил4.!G43</f>
        <v>53060044.450000003</v>
      </c>
      <c r="H124" s="81">
        <f>прил4.!H211+прил4.!H177+прил4.!H263+прил4.!H43</f>
        <v>71909938.329999998</v>
      </c>
      <c r="I124" s="81">
        <f>прил4.!I211+прил4.!I177+прил4.!I263+прил4.!I43</f>
        <v>74786335.870000005</v>
      </c>
      <c r="J124" s="17">
        <v>100000</v>
      </c>
      <c r="P124" s="17"/>
      <c r="Q124" s="17"/>
      <c r="R124" s="17"/>
      <c r="S124" s="17"/>
      <c r="T124" s="17"/>
    </row>
    <row r="125" spans="1:20" s="18" customFormat="1" ht="48" customHeight="1" x14ac:dyDescent="0.25">
      <c r="A125" s="117" t="s">
        <v>443</v>
      </c>
      <c r="B125" s="14">
        <v>774</v>
      </c>
      <c r="C125" s="15" t="s">
        <v>17</v>
      </c>
      <c r="D125" s="15" t="s">
        <v>10</v>
      </c>
      <c r="E125" s="15" t="s">
        <v>442</v>
      </c>
      <c r="F125" s="15"/>
      <c r="G125" s="70">
        <f>G126+G128</f>
        <v>767517800</v>
      </c>
      <c r="H125" s="81">
        <f t="shared" ref="H125:I125" si="52">H126+H128</f>
        <v>780781500</v>
      </c>
      <c r="I125" s="81">
        <f t="shared" si="52"/>
        <v>810066900</v>
      </c>
      <c r="J125" s="17"/>
      <c r="P125" s="17"/>
      <c r="Q125" s="17"/>
      <c r="R125" s="17"/>
      <c r="S125" s="17"/>
      <c r="T125" s="17"/>
    </row>
    <row r="126" spans="1:20" s="18" customFormat="1" ht="32.25" customHeight="1" x14ac:dyDescent="0.25">
      <c r="A126" s="78" t="s">
        <v>21</v>
      </c>
      <c r="B126" s="14">
        <v>774</v>
      </c>
      <c r="C126" s="15" t="s">
        <v>17</v>
      </c>
      <c r="D126" s="15" t="s">
        <v>10</v>
      </c>
      <c r="E126" s="15" t="s">
        <v>442</v>
      </c>
      <c r="F126" s="15" t="s">
        <v>22</v>
      </c>
      <c r="G126" s="70">
        <f t="shared" ref="G126:I126" si="53">G127</f>
        <v>755726141.89999998</v>
      </c>
      <c r="H126" s="81">
        <f t="shared" si="53"/>
        <v>768444569.52999997</v>
      </c>
      <c r="I126" s="81">
        <f t="shared" si="53"/>
        <v>797978994.99000001</v>
      </c>
      <c r="J126" s="17">
        <v>6074133</v>
      </c>
      <c r="P126" s="17"/>
      <c r="Q126" s="17"/>
      <c r="R126" s="17"/>
      <c r="S126" s="17"/>
      <c r="T126" s="17"/>
    </row>
    <row r="127" spans="1:20" s="18" customFormat="1" x14ac:dyDescent="0.25">
      <c r="A127" s="78" t="s">
        <v>23</v>
      </c>
      <c r="B127" s="14">
        <v>774</v>
      </c>
      <c r="C127" s="15" t="s">
        <v>17</v>
      </c>
      <c r="D127" s="15" t="s">
        <v>10</v>
      </c>
      <c r="E127" s="15" t="s">
        <v>442</v>
      </c>
      <c r="F127" s="15" t="s">
        <v>24</v>
      </c>
      <c r="G127" s="70">
        <f>прил4.!G180+прил4.!G214+прил4.!G266</f>
        <v>755726141.89999998</v>
      </c>
      <c r="H127" s="81">
        <f>прил4.!H180+прил4.!H214+прил4.!H266</f>
        <v>768444569.52999997</v>
      </c>
      <c r="I127" s="81">
        <f>прил4.!I180+прил4.!I214+прил4.!I266</f>
        <v>797978994.99000001</v>
      </c>
      <c r="J127" s="17">
        <v>123332466</v>
      </c>
      <c r="P127" s="17"/>
      <c r="Q127" s="17"/>
      <c r="R127" s="17"/>
      <c r="S127" s="17"/>
      <c r="T127" s="17"/>
    </row>
    <row r="128" spans="1:20" s="18" customFormat="1" ht="85.5" customHeight="1" x14ac:dyDescent="0.25">
      <c r="A128" s="78" t="s">
        <v>444</v>
      </c>
      <c r="B128" s="79" t="s">
        <v>67</v>
      </c>
      <c r="C128" s="79" t="s">
        <v>17</v>
      </c>
      <c r="D128" s="79" t="s">
        <v>49</v>
      </c>
      <c r="E128" s="79" t="s">
        <v>445</v>
      </c>
      <c r="F128" s="79"/>
      <c r="G128" s="81">
        <f t="shared" ref="G128:I129" si="54">G129</f>
        <v>11791658.1</v>
      </c>
      <c r="H128" s="81">
        <f t="shared" si="54"/>
        <v>12336930.470000001</v>
      </c>
      <c r="I128" s="81">
        <f t="shared" si="54"/>
        <v>12087905.01</v>
      </c>
      <c r="J128" s="137"/>
      <c r="K128" s="154"/>
      <c r="L128" s="154"/>
      <c r="M128" s="154"/>
      <c r="N128" s="154"/>
      <c r="O128" s="154"/>
      <c r="P128" s="154"/>
      <c r="Q128" s="164"/>
      <c r="R128" s="154"/>
    </row>
    <row r="129" spans="1:20" s="18" customFormat="1" ht="30" customHeight="1" x14ac:dyDescent="0.25">
      <c r="A129" s="78" t="s">
        <v>21</v>
      </c>
      <c r="B129" s="79" t="s">
        <v>67</v>
      </c>
      <c r="C129" s="79" t="s">
        <v>17</v>
      </c>
      <c r="D129" s="79" t="s">
        <v>49</v>
      </c>
      <c r="E129" s="79" t="s">
        <v>445</v>
      </c>
      <c r="F129" s="79" t="s">
        <v>22</v>
      </c>
      <c r="G129" s="81">
        <f t="shared" si="54"/>
        <v>11791658.1</v>
      </c>
      <c r="H129" s="81">
        <f t="shared" si="54"/>
        <v>12336930.470000001</v>
      </c>
      <c r="I129" s="81">
        <f t="shared" si="54"/>
        <v>12087905.01</v>
      </c>
      <c r="J129" s="137"/>
      <c r="K129" s="154"/>
      <c r="L129" s="154"/>
      <c r="M129" s="154"/>
      <c r="N129" s="154"/>
      <c r="O129" s="154"/>
      <c r="P129" s="154"/>
      <c r="Q129" s="154"/>
      <c r="R129" s="154"/>
    </row>
    <row r="130" spans="1:20" s="18" customFormat="1" ht="20.25" customHeight="1" x14ac:dyDescent="0.25">
      <c r="A130" s="78" t="s">
        <v>23</v>
      </c>
      <c r="B130" s="79" t="s">
        <v>67</v>
      </c>
      <c r="C130" s="79" t="s">
        <v>17</v>
      </c>
      <c r="D130" s="79" t="s">
        <v>49</v>
      </c>
      <c r="E130" s="79" t="s">
        <v>445</v>
      </c>
      <c r="F130" s="79" t="s">
        <v>24</v>
      </c>
      <c r="G130" s="81">
        <f>прил4.!G269</f>
        <v>11791658.1</v>
      </c>
      <c r="H130" s="81">
        <f>прил4.!H269</f>
        <v>12336930.470000001</v>
      </c>
      <c r="I130" s="81">
        <f>прил4.!I269</f>
        <v>12087905.01</v>
      </c>
      <c r="J130" s="137"/>
      <c r="K130" s="154"/>
      <c r="L130" s="154"/>
      <c r="M130" s="154"/>
      <c r="N130" s="154"/>
      <c r="O130" s="154"/>
      <c r="P130" s="154"/>
      <c r="Q130" s="154"/>
      <c r="R130" s="154"/>
    </row>
    <row r="131" spans="1:20" s="18" customFormat="1" ht="33" customHeight="1" x14ac:dyDescent="0.25">
      <c r="A131" s="16" t="s">
        <v>66</v>
      </c>
      <c r="B131" s="14">
        <v>774</v>
      </c>
      <c r="C131" s="15" t="s">
        <v>17</v>
      </c>
      <c r="D131" s="15" t="s">
        <v>10</v>
      </c>
      <c r="E131" s="15" t="s">
        <v>133</v>
      </c>
      <c r="F131" s="15"/>
      <c r="G131" s="70">
        <f t="shared" ref="G131:I132" si="55">G132</f>
        <v>137841837.59999999</v>
      </c>
      <c r="H131" s="81">
        <f t="shared" si="55"/>
        <v>141355511.11000001</v>
      </c>
      <c r="I131" s="81">
        <f t="shared" si="55"/>
        <v>147089731.55000001</v>
      </c>
      <c r="J131" s="17">
        <v>100000</v>
      </c>
      <c r="P131" s="17"/>
      <c r="Q131" s="17"/>
      <c r="R131" s="17"/>
      <c r="S131" s="17"/>
      <c r="T131" s="17"/>
    </row>
    <row r="132" spans="1:20" s="18" customFormat="1" ht="33.75" customHeight="1" x14ac:dyDescent="0.25">
      <c r="A132" s="16" t="s">
        <v>21</v>
      </c>
      <c r="B132" s="14">
        <v>774</v>
      </c>
      <c r="C132" s="15" t="s">
        <v>17</v>
      </c>
      <c r="D132" s="15" t="s">
        <v>10</v>
      </c>
      <c r="E132" s="15" t="s">
        <v>133</v>
      </c>
      <c r="F132" s="15" t="s">
        <v>22</v>
      </c>
      <c r="G132" s="70">
        <f t="shared" si="55"/>
        <v>137841837.59999999</v>
      </c>
      <c r="H132" s="81">
        <f t="shared" si="55"/>
        <v>141355511.11000001</v>
      </c>
      <c r="I132" s="81">
        <f t="shared" si="55"/>
        <v>147089731.55000001</v>
      </c>
      <c r="J132" s="17">
        <v>1000000</v>
      </c>
      <c r="P132" s="17"/>
      <c r="Q132" s="17"/>
      <c r="R132" s="17"/>
      <c r="S132" s="17"/>
      <c r="T132" s="17"/>
    </row>
    <row r="133" spans="1:20" s="18" customFormat="1" ht="23.25" customHeight="1" x14ac:dyDescent="0.25">
      <c r="A133" s="16" t="s">
        <v>23</v>
      </c>
      <c r="B133" s="14">
        <v>774</v>
      </c>
      <c r="C133" s="15" t="s">
        <v>17</v>
      </c>
      <c r="D133" s="15" t="s">
        <v>10</v>
      </c>
      <c r="E133" s="15" t="s">
        <v>133</v>
      </c>
      <c r="F133" s="15" t="s">
        <v>24</v>
      </c>
      <c r="G133" s="70">
        <f>прил4.!G183</f>
        <v>137841837.59999999</v>
      </c>
      <c r="H133" s="81">
        <f>прил4.!H183</f>
        <v>141355511.11000001</v>
      </c>
      <c r="I133" s="81">
        <f>прил4.!I183</f>
        <v>147089731.55000001</v>
      </c>
      <c r="J133" s="17">
        <v>3557619</v>
      </c>
      <c r="P133" s="17"/>
      <c r="Q133" s="17"/>
      <c r="R133" s="17"/>
      <c r="S133" s="17"/>
      <c r="T133" s="17"/>
    </row>
    <row r="134" spans="1:20" ht="43.5" customHeight="1" x14ac:dyDescent="0.25">
      <c r="A134" s="16" t="s">
        <v>75</v>
      </c>
      <c r="B134" s="15" t="s">
        <v>67</v>
      </c>
      <c r="C134" s="15" t="s">
        <v>17</v>
      </c>
      <c r="D134" s="15" t="s">
        <v>19</v>
      </c>
      <c r="E134" s="15" t="s">
        <v>136</v>
      </c>
      <c r="F134" s="15"/>
      <c r="G134" s="70">
        <f>G135</f>
        <v>189908128.24000001</v>
      </c>
      <c r="H134" s="81">
        <f>H135</f>
        <v>194504453.37</v>
      </c>
      <c r="I134" s="81">
        <f>I135</f>
        <v>202404631.5</v>
      </c>
      <c r="J134" s="17">
        <v>1832238</v>
      </c>
    </row>
    <row r="135" spans="1:20" ht="31.5" customHeight="1" x14ac:dyDescent="0.25">
      <c r="A135" s="16" t="s">
        <v>21</v>
      </c>
      <c r="B135" s="15" t="s">
        <v>67</v>
      </c>
      <c r="C135" s="15" t="s">
        <v>17</v>
      </c>
      <c r="D135" s="15" t="s">
        <v>19</v>
      </c>
      <c r="E135" s="15" t="s">
        <v>136</v>
      </c>
      <c r="F135" s="15" t="s">
        <v>22</v>
      </c>
      <c r="G135" s="70">
        <f t="shared" ref="G135:I135" si="56">G136</f>
        <v>189908128.24000001</v>
      </c>
      <c r="H135" s="81">
        <f t="shared" si="56"/>
        <v>194504453.37</v>
      </c>
      <c r="I135" s="81">
        <f t="shared" si="56"/>
        <v>202404631.5</v>
      </c>
      <c r="J135" s="17">
        <v>275000</v>
      </c>
    </row>
    <row r="136" spans="1:20" ht="20.25" customHeight="1" x14ac:dyDescent="0.25">
      <c r="A136" s="16" t="s">
        <v>23</v>
      </c>
      <c r="B136" s="15" t="s">
        <v>67</v>
      </c>
      <c r="C136" s="15" t="s">
        <v>17</v>
      </c>
      <c r="D136" s="15" t="s">
        <v>19</v>
      </c>
      <c r="E136" s="15" t="s">
        <v>136</v>
      </c>
      <c r="F136" s="15" t="s">
        <v>24</v>
      </c>
      <c r="G136" s="70">
        <f>прил4.!G217</f>
        <v>189908128.24000001</v>
      </c>
      <c r="H136" s="81">
        <f>прил4.!H217</f>
        <v>194504453.37</v>
      </c>
      <c r="I136" s="81">
        <f>прил4.!I217</f>
        <v>202404631.5</v>
      </c>
      <c r="J136" s="17">
        <v>2097500</v>
      </c>
    </row>
    <row r="137" spans="1:20" ht="37.5" customHeight="1" x14ac:dyDescent="0.25">
      <c r="A137" s="16" t="s">
        <v>20</v>
      </c>
      <c r="B137" s="15" t="s">
        <v>67</v>
      </c>
      <c r="C137" s="15" t="s">
        <v>17</v>
      </c>
      <c r="D137" s="15" t="s">
        <v>19</v>
      </c>
      <c r="E137" s="15" t="s">
        <v>137</v>
      </c>
      <c r="F137" s="15"/>
      <c r="G137" s="81">
        <f t="shared" ref="G137:I138" si="57">G138</f>
        <v>22424157.510000002</v>
      </c>
      <c r="H137" s="81">
        <f t="shared" si="57"/>
        <v>22916898.68</v>
      </c>
      <c r="I137" s="81">
        <f t="shared" si="57"/>
        <v>23462108.489999998</v>
      </c>
      <c r="J137" s="2">
        <v>66815463</v>
      </c>
    </row>
    <row r="138" spans="1:20" ht="32.25" customHeight="1" x14ac:dyDescent="0.25">
      <c r="A138" s="16" t="s">
        <v>21</v>
      </c>
      <c r="B138" s="15" t="s">
        <v>67</v>
      </c>
      <c r="C138" s="15" t="s">
        <v>17</v>
      </c>
      <c r="D138" s="15" t="s">
        <v>19</v>
      </c>
      <c r="E138" s="15" t="s">
        <v>137</v>
      </c>
      <c r="F138" s="15" t="s">
        <v>22</v>
      </c>
      <c r="G138" s="81">
        <f t="shared" si="57"/>
        <v>22424157.510000002</v>
      </c>
      <c r="H138" s="81">
        <f t="shared" si="57"/>
        <v>22916898.68</v>
      </c>
      <c r="I138" s="81">
        <f t="shared" si="57"/>
        <v>23462108.489999998</v>
      </c>
      <c r="J138" s="2">
        <v>11498996</v>
      </c>
    </row>
    <row r="139" spans="1:20" ht="23.25" customHeight="1" x14ac:dyDescent="0.25">
      <c r="A139" s="16" t="s">
        <v>23</v>
      </c>
      <c r="B139" s="15" t="s">
        <v>67</v>
      </c>
      <c r="C139" s="15" t="s">
        <v>17</v>
      </c>
      <c r="D139" s="15" t="s">
        <v>19</v>
      </c>
      <c r="E139" s="15" t="s">
        <v>137</v>
      </c>
      <c r="F139" s="15" t="s">
        <v>24</v>
      </c>
      <c r="G139" s="70">
        <f>прил4.!G272</f>
        <v>22424157.510000002</v>
      </c>
      <c r="H139" s="70">
        <f>прил4.!H272</f>
        <v>22916898.68</v>
      </c>
      <c r="I139" s="70">
        <f>прил4.!I272</f>
        <v>23462108.489999998</v>
      </c>
      <c r="J139" s="2">
        <v>90400</v>
      </c>
    </row>
    <row r="140" spans="1:20" s="18" customFormat="1" ht="21.75" customHeight="1" x14ac:dyDescent="0.25">
      <c r="A140" s="16" t="s">
        <v>305</v>
      </c>
      <c r="B140" s="14">
        <v>774</v>
      </c>
      <c r="C140" s="15" t="s">
        <v>17</v>
      </c>
      <c r="D140" s="15" t="s">
        <v>10</v>
      </c>
      <c r="E140" s="15" t="s">
        <v>313</v>
      </c>
      <c r="F140" s="15"/>
      <c r="G140" s="70">
        <f>G141</f>
        <v>2000000</v>
      </c>
      <c r="H140" s="70">
        <f t="shared" ref="G140:I141" si="58">H141</f>
        <v>2012000</v>
      </c>
      <c r="I140" s="70">
        <f t="shared" si="58"/>
        <v>2000000</v>
      </c>
      <c r="P140" s="17"/>
      <c r="Q140" s="17"/>
      <c r="R140" s="17"/>
      <c r="S140" s="17"/>
      <c r="T140" s="17"/>
    </row>
    <row r="141" spans="1:20" s="18" customFormat="1" ht="31.5" customHeight="1" x14ac:dyDescent="0.25">
      <c r="A141" s="16" t="s">
        <v>21</v>
      </c>
      <c r="B141" s="14">
        <v>774</v>
      </c>
      <c r="C141" s="15" t="s">
        <v>17</v>
      </c>
      <c r="D141" s="15" t="s">
        <v>10</v>
      </c>
      <c r="E141" s="15" t="s">
        <v>313</v>
      </c>
      <c r="F141" s="15" t="s">
        <v>22</v>
      </c>
      <c r="G141" s="70">
        <f t="shared" si="58"/>
        <v>2000000</v>
      </c>
      <c r="H141" s="70">
        <f t="shared" si="58"/>
        <v>2012000</v>
      </c>
      <c r="I141" s="70">
        <f t="shared" si="58"/>
        <v>2000000</v>
      </c>
      <c r="P141" s="17"/>
      <c r="Q141" s="17"/>
      <c r="R141" s="17"/>
      <c r="S141" s="17"/>
      <c r="T141" s="17"/>
    </row>
    <row r="142" spans="1:20" s="18" customFormat="1" ht="22.5" customHeight="1" x14ac:dyDescent="0.25">
      <c r="A142" s="16" t="s">
        <v>23</v>
      </c>
      <c r="B142" s="14">
        <v>774</v>
      </c>
      <c r="C142" s="15" t="s">
        <v>17</v>
      </c>
      <c r="D142" s="15" t="s">
        <v>10</v>
      </c>
      <c r="E142" s="15" t="s">
        <v>313</v>
      </c>
      <c r="F142" s="15" t="s">
        <v>24</v>
      </c>
      <c r="G142" s="70">
        <f>прил4.!G186+прил4.!G275+прил4.!G220</f>
        <v>2000000</v>
      </c>
      <c r="H142" s="70">
        <f>прил4.!H186+прил4.!H275+прил4.!H220</f>
        <v>2012000</v>
      </c>
      <c r="I142" s="70">
        <f>прил4.!I186+прил4.!I275+прил4.!I220</f>
        <v>2000000</v>
      </c>
      <c r="P142" s="17"/>
      <c r="Q142" s="17"/>
      <c r="R142" s="17"/>
      <c r="S142" s="17"/>
      <c r="T142" s="17"/>
    </row>
    <row r="143" spans="1:20" s="18" customFormat="1" ht="43.5" customHeight="1" x14ac:dyDescent="0.25">
      <c r="A143" s="298" t="s">
        <v>318</v>
      </c>
      <c r="B143" s="15" t="s">
        <v>67</v>
      </c>
      <c r="C143" s="15" t="s">
        <v>17</v>
      </c>
      <c r="D143" s="15" t="s">
        <v>10</v>
      </c>
      <c r="E143" s="15" t="s">
        <v>314</v>
      </c>
      <c r="F143" s="15"/>
      <c r="G143" s="70">
        <f t="shared" ref="G143:I144" si="59">G144</f>
        <v>3687274</v>
      </c>
      <c r="H143" s="70">
        <f t="shared" si="59"/>
        <v>4152314.4</v>
      </c>
      <c r="I143" s="70">
        <f t="shared" si="59"/>
        <v>4318406.9800000004</v>
      </c>
      <c r="P143" s="17"/>
      <c r="Q143" s="17"/>
      <c r="R143" s="17"/>
      <c r="S143" s="17"/>
      <c r="T143" s="17"/>
    </row>
    <row r="144" spans="1:20" s="18" customFormat="1" ht="36.75" customHeight="1" x14ac:dyDescent="0.25">
      <c r="A144" s="16" t="s">
        <v>21</v>
      </c>
      <c r="B144" s="15" t="s">
        <v>67</v>
      </c>
      <c r="C144" s="15" t="s">
        <v>17</v>
      </c>
      <c r="D144" s="15" t="s">
        <v>10</v>
      </c>
      <c r="E144" s="15" t="s">
        <v>314</v>
      </c>
      <c r="F144" s="15" t="s">
        <v>22</v>
      </c>
      <c r="G144" s="70">
        <f t="shared" si="59"/>
        <v>3687274</v>
      </c>
      <c r="H144" s="70">
        <f t="shared" si="59"/>
        <v>4152314.4</v>
      </c>
      <c r="I144" s="70">
        <f t="shared" si="59"/>
        <v>4318406.9800000004</v>
      </c>
      <c r="P144" s="17"/>
      <c r="Q144" s="17"/>
      <c r="R144" s="17"/>
      <c r="S144" s="17"/>
      <c r="T144" s="17"/>
    </row>
    <row r="145" spans="1:20" x14ac:dyDescent="0.25">
      <c r="A145" s="16" t="s">
        <v>23</v>
      </c>
      <c r="B145" s="15" t="s">
        <v>67</v>
      </c>
      <c r="C145" s="15" t="s">
        <v>17</v>
      </c>
      <c r="D145" s="15" t="s">
        <v>10</v>
      </c>
      <c r="E145" s="15" t="s">
        <v>314</v>
      </c>
      <c r="F145" s="15" t="s">
        <v>24</v>
      </c>
      <c r="G145" s="70">
        <f>прил4.!G335</f>
        <v>3687274</v>
      </c>
      <c r="H145" s="70">
        <f>прил4.!H335</f>
        <v>4152314.4</v>
      </c>
      <c r="I145" s="70">
        <f>прил4.!I335</f>
        <v>4318406.9800000004</v>
      </c>
      <c r="J145" s="1"/>
    </row>
    <row r="146" spans="1:20" s="18" customFormat="1" ht="42" customHeight="1" x14ac:dyDescent="0.25">
      <c r="A146" s="42" t="s">
        <v>315</v>
      </c>
      <c r="B146" s="15" t="s">
        <v>67</v>
      </c>
      <c r="C146" s="15" t="s">
        <v>17</v>
      </c>
      <c r="D146" s="15" t="s">
        <v>19</v>
      </c>
      <c r="E146" s="15" t="s">
        <v>319</v>
      </c>
      <c r="F146" s="15"/>
      <c r="G146" s="70">
        <f t="shared" ref="G146:I147" si="60">G147</f>
        <v>2605082</v>
      </c>
      <c r="H146" s="70">
        <f t="shared" si="60"/>
        <v>3368665.56</v>
      </c>
      <c r="I146" s="70">
        <f t="shared" si="60"/>
        <v>3503412.18</v>
      </c>
      <c r="P146" s="17"/>
      <c r="Q146" s="17"/>
      <c r="R146" s="17"/>
      <c r="S146" s="17"/>
      <c r="T146" s="17"/>
    </row>
    <row r="147" spans="1:20" s="18" customFormat="1" ht="32.25" customHeight="1" x14ac:dyDescent="0.25">
      <c r="A147" s="16" t="s">
        <v>21</v>
      </c>
      <c r="B147" s="15" t="s">
        <v>67</v>
      </c>
      <c r="C147" s="15" t="s">
        <v>17</v>
      </c>
      <c r="D147" s="15" t="s">
        <v>19</v>
      </c>
      <c r="E147" s="15" t="s">
        <v>319</v>
      </c>
      <c r="F147" s="15" t="s">
        <v>22</v>
      </c>
      <c r="G147" s="70">
        <f t="shared" si="60"/>
        <v>2605082</v>
      </c>
      <c r="H147" s="70">
        <f t="shared" si="60"/>
        <v>3368665.56</v>
      </c>
      <c r="I147" s="70">
        <f t="shared" si="60"/>
        <v>3503412.18</v>
      </c>
      <c r="P147" s="17"/>
      <c r="Q147" s="17"/>
      <c r="R147" s="17"/>
      <c r="S147" s="17"/>
      <c r="T147" s="17"/>
    </row>
    <row r="148" spans="1:20" ht="21.75" customHeight="1" x14ac:dyDescent="0.25">
      <c r="A148" s="78" t="s">
        <v>23</v>
      </c>
      <c r="B148" s="15" t="s">
        <v>67</v>
      </c>
      <c r="C148" s="15" t="s">
        <v>17</v>
      </c>
      <c r="D148" s="15" t="s">
        <v>19</v>
      </c>
      <c r="E148" s="15" t="s">
        <v>319</v>
      </c>
      <c r="F148" s="15" t="s">
        <v>24</v>
      </c>
      <c r="G148" s="70">
        <f>прил4.!G338</f>
        <v>2605082</v>
      </c>
      <c r="H148" s="70">
        <f>прил4.!H338</f>
        <v>3368665.56</v>
      </c>
      <c r="I148" s="70">
        <f>прил4.!I338</f>
        <v>3503412.18</v>
      </c>
      <c r="J148" s="1"/>
    </row>
    <row r="149" spans="1:20" ht="33" customHeight="1" x14ac:dyDescent="0.25">
      <c r="A149" s="78" t="s">
        <v>331</v>
      </c>
      <c r="B149" s="15" t="s">
        <v>67</v>
      </c>
      <c r="C149" s="15" t="s">
        <v>17</v>
      </c>
      <c r="D149" s="15" t="s">
        <v>79</v>
      </c>
      <c r="E149" s="15" t="s">
        <v>327</v>
      </c>
      <c r="F149" s="15"/>
      <c r="G149" s="70">
        <f>G150</f>
        <v>100000</v>
      </c>
      <c r="H149" s="70">
        <f t="shared" ref="H149:I150" si="61">H150</f>
        <v>120000</v>
      </c>
      <c r="I149" s="70">
        <f t="shared" si="61"/>
        <v>120000</v>
      </c>
      <c r="J149" s="137"/>
      <c r="K149" s="142"/>
      <c r="L149" s="142"/>
      <c r="M149" s="142"/>
      <c r="N149" s="142"/>
      <c r="O149" s="142"/>
      <c r="P149" s="142"/>
      <c r="Q149" s="142"/>
      <c r="R149" s="142"/>
      <c r="S149" s="1"/>
      <c r="T149" s="1"/>
    </row>
    <row r="150" spans="1:20" ht="24.75" customHeight="1" x14ac:dyDescent="0.25">
      <c r="A150" s="16" t="s">
        <v>25</v>
      </c>
      <c r="B150" s="15" t="s">
        <v>67</v>
      </c>
      <c r="C150" s="15" t="s">
        <v>17</v>
      </c>
      <c r="D150" s="15" t="s">
        <v>79</v>
      </c>
      <c r="E150" s="15" t="s">
        <v>327</v>
      </c>
      <c r="F150" s="15" t="s">
        <v>26</v>
      </c>
      <c r="G150" s="70">
        <f>G151</f>
        <v>100000</v>
      </c>
      <c r="H150" s="70">
        <f t="shared" si="61"/>
        <v>120000</v>
      </c>
      <c r="I150" s="70">
        <f t="shared" si="61"/>
        <v>120000</v>
      </c>
      <c r="J150" s="137"/>
      <c r="K150" s="142"/>
      <c r="L150" s="142"/>
      <c r="M150" s="142"/>
      <c r="N150" s="142"/>
      <c r="O150" s="142"/>
      <c r="P150" s="142"/>
      <c r="Q150" s="142"/>
      <c r="R150" s="142"/>
      <c r="S150" s="1"/>
      <c r="T150" s="1"/>
    </row>
    <row r="151" spans="1:20" ht="32.25" customHeight="1" x14ac:dyDescent="0.25">
      <c r="A151" s="16" t="s">
        <v>27</v>
      </c>
      <c r="B151" s="15" t="s">
        <v>67</v>
      </c>
      <c r="C151" s="15" t="s">
        <v>17</v>
      </c>
      <c r="D151" s="15" t="s">
        <v>79</v>
      </c>
      <c r="E151" s="15" t="s">
        <v>327</v>
      </c>
      <c r="F151" s="15" t="s">
        <v>28</v>
      </c>
      <c r="G151" s="81">
        <f>прил4.!G314</f>
        <v>100000</v>
      </c>
      <c r="H151" s="81">
        <f>прил4.!H314</f>
        <v>120000</v>
      </c>
      <c r="I151" s="81">
        <f>прил4.!I314</f>
        <v>120000</v>
      </c>
      <c r="J151" s="137"/>
      <c r="K151" s="142"/>
      <c r="L151" s="142"/>
      <c r="M151" s="142"/>
      <c r="N151" s="142"/>
      <c r="O151" s="142"/>
      <c r="P151" s="142"/>
      <c r="Q151" s="142"/>
      <c r="R151" s="142"/>
      <c r="S151" s="1"/>
      <c r="T151" s="1"/>
    </row>
    <row r="152" spans="1:20" s="18" customFormat="1" ht="46.5" customHeight="1" x14ac:dyDescent="0.25">
      <c r="A152" s="140" t="s">
        <v>317</v>
      </c>
      <c r="B152" s="15" t="s">
        <v>67</v>
      </c>
      <c r="C152" s="15" t="s">
        <v>17</v>
      </c>
      <c r="D152" s="15" t="s">
        <v>79</v>
      </c>
      <c r="E152" s="15" t="s">
        <v>316</v>
      </c>
      <c r="F152" s="15"/>
      <c r="G152" s="70">
        <f t="shared" ref="G152:I153" si="62">G153</f>
        <v>20689.2</v>
      </c>
      <c r="H152" s="70">
        <f t="shared" si="62"/>
        <v>62069.01</v>
      </c>
      <c r="I152" s="70">
        <f t="shared" si="62"/>
        <v>124138.02</v>
      </c>
      <c r="J152" s="137"/>
      <c r="K152" s="154"/>
      <c r="L152" s="154"/>
      <c r="M152" s="154"/>
      <c r="N152" s="154"/>
      <c r="O152" s="154"/>
      <c r="P152" s="154"/>
      <c r="Q152" s="154"/>
      <c r="R152" s="154"/>
    </row>
    <row r="153" spans="1:20" s="18" customFormat="1" ht="20.25" customHeight="1" x14ac:dyDescent="0.25">
      <c r="A153" s="16" t="s">
        <v>86</v>
      </c>
      <c r="B153" s="15" t="s">
        <v>67</v>
      </c>
      <c r="C153" s="15" t="s">
        <v>17</v>
      </c>
      <c r="D153" s="15" t="s">
        <v>79</v>
      </c>
      <c r="E153" s="15" t="s">
        <v>316</v>
      </c>
      <c r="F153" s="15" t="s">
        <v>87</v>
      </c>
      <c r="G153" s="70">
        <f t="shared" si="62"/>
        <v>20689.2</v>
      </c>
      <c r="H153" s="70">
        <f t="shared" si="62"/>
        <v>62069.01</v>
      </c>
      <c r="I153" s="70">
        <f t="shared" si="62"/>
        <v>124138.02</v>
      </c>
      <c r="J153" s="137"/>
      <c r="K153" s="154"/>
      <c r="L153" s="154"/>
      <c r="M153" s="154"/>
      <c r="N153" s="154"/>
      <c r="O153" s="154"/>
      <c r="P153" s="154"/>
      <c r="Q153" s="154"/>
      <c r="R153" s="154"/>
    </row>
    <row r="154" spans="1:20" s="18" customFormat="1" ht="22.5" customHeight="1" x14ac:dyDescent="0.25">
      <c r="A154" s="78" t="s">
        <v>347</v>
      </c>
      <c r="B154" s="15" t="s">
        <v>67</v>
      </c>
      <c r="C154" s="15" t="s">
        <v>17</v>
      </c>
      <c r="D154" s="15" t="s">
        <v>79</v>
      </c>
      <c r="E154" s="15" t="s">
        <v>316</v>
      </c>
      <c r="F154" s="15" t="s">
        <v>346</v>
      </c>
      <c r="G154" s="70">
        <f>прил4.!G317</f>
        <v>20689.2</v>
      </c>
      <c r="H154" s="70">
        <f>прил4.!H317</f>
        <v>62069.01</v>
      </c>
      <c r="I154" s="70">
        <f>прил4.!I317</f>
        <v>124138.02</v>
      </c>
      <c r="J154" s="137"/>
      <c r="K154" s="154"/>
      <c r="L154" s="154"/>
      <c r="M154" s="154"/>
      <c r="N154" s="154"/>
      <c r="O154" s="154"/>
      <c r="P154" s="154"/>
      <c r="Q154" s="154"/>
      <c r="R154" s="154"/>
    </row>
    <row r="155" spans="1:20" s="18" customFormat="1" ht="42.75" customHeight="1" x14ac:dyDescent="0.25">
      <c r="A155" s="42" t="s">
        <v>80</v>
      </c>
      <c r="B155" s="15" t="s">
        <v>67</v>
      </c>
      <c r="C155" s="15" t="s">
        <v>17</v>
      </c>
      <c r="D155" s="15" t="s">
        <v>79</v>
      </c>
      <c r="E155" s="15" t="s">
        <v>140</v>
      </c>
      <c r="F155" s="15"/>
      <c r="G155" s="70">
        <f t="shared" ref="G155:I156" si="63">G156</f>
        <v>894036</v>
      </c>
      <c r="H155" s="70">
        <f t="shared" si="63"/>
        <v>929797.44</v>
      </c>
      <c r="I155" s="70">
        <f t="shared" si="63"/>
        <v>966989.34</v>
      </c>
      <c r="J155" s="98">
        <v>40000</v>
      </c>
      <c r="P155" s="17"/>
      <c r="Q155" s="17"/>
      <c r="R155" s="17"/>
      <c r="S155" s="17"/>
      <c r="T155" s="17"/>
    </row>
    <row r="156" spans="1:20" s="18" customFormat="1" ht="33.75" customHeight="1" x14ac:dyDescent="0.25">
      <c r="A156" s="16" t="s">
        <v>21</v>
      </c>
      <c r="B156" s="15" t="s">
        <v>67</v>
      </c>
      <c r="C156" s="15" t="s">
        <v>17</v>
      </c>
      <c r="D156" s="15" t="s">
        <v>79</v>
      </c>
      <c r="E156" s="15" t="s">
        <v>140</v>
      </c>
      <c r="F156" s="15" t="s">
        <v>22</v>
      </c>
      <c r="G156" s="70">
        <f t="shared" si="63"/>
        <v>894036</v>
      </c>
      <c r="H156" s="70">
        <f t="shared" si="63"/>
        <v>929797.44</v>
      </c>
      <c r="I156" s="70">
        <f t="shared" si="63"/>
        <v>966989.34</v>
      </c>
      <c r="J156" s="98">
        <v>5480300</v>
      </c>
      <c r="P156" s="17"/>
      <c r="Q156" s="17"/>
      <c r="R156" s="17"/>
      <c r="S156" s="17"/>
      <c r="T156" s="17"/>
    </row>
    <row r="157" spans="1:20" x14ac:dyDescent="0.25">
      <c r="A157" s="16" t="s">
        <v>23</v>
      </c>
      <c r="B157" s="15" t="s">
        <v>67</v>
      </c>
      <c r="C157" s="15" t="s">
        <v>17</v>
      </c>
      <c r="D157" s="15" t="s">
        <v>79</v>
      </c>
      <c r="E157" s="15" t="s">
        <v>140</v>
      </c>
      <c r="F157" s="15" t="s">
        <v>24</v>
      </c>
      <c r="G157" s="70">
        <f>прил4.!G189</f>
        <v>894036</v>
      </c>
      <c r="H157" s="70">
        <f>прил4.!H189</f>
        <v>929797.44</v>
      </c>
      <c r="I157" s="70">
        <f>прил4.!I189</f>
        <v>966989.34</v>
      </c>
      <c r="J157" s="98">
        <v>500000</v>
      </c>
    </row>
    <row r="158" spans="1:20" s="18" customFormat="1" x14ac:dyDescent="0.25">
      <c r="A158" s="272" t="s">
        <v>515</v>
      </c>
      <c r="B158" s="15" t="s">
        <v>67</v>
      </c>
      <c r="C158" s="15" t="s">
        <v>17</v>
      </c>
      <c r="D158" s="15" t="s">
        <v>19</v>
      </c>
      <c r="E158" s="15" t="s">
        <v>514</v>
      </c>
      <c r="F158" s="15"/>
      <c r="G158" s="70">
        <f>G159</f>
        <v>58287675.600000001</v>
      </c>
      <c r="H158" s="70">
        <f t="shared" ref="H158:I158" si="64">H159</f>
        <v>58287675.600000001</v>
      </c>
      <c r="I158" s="70">
        <f t="shared" si="64"/>
        <v>58287675.600000001</v>
      </c>
      <c r="J158" s="137"/>
      <c r="K158" s="154"/>
      <c r="L158" s="154"/>
      <c r="M158" s="154"/>
      <c r="N158" s="154"/>
      <c r="O158" s="154"/>
      <c r="P158" s="154"/>
      <c r="Q158" s="154"/>
      <c r="R158" s="154"/>
    </row>
    <row r="159" spans="1:20" s="18" customFormat="1" ht="21" customHeight="1" x14ac:dyDescent="0.25">
      <c r="A159" s="297" t="s">
        <v>488</v>
      </c>
      <c r="B159" s="15" t="s">
        <v>67</v>
      </c>
      <c r="C159" s="15" t="s">
        <v>17</v>
      </c>
      <c r="D159" s="15" t="s">
        <v>19</v>
      </c>
      <c r="E159" s="15" t="s">
        <v>489</v>
      </c>
      <c r="F159" s="15"/>
      <c r="G159" s="70">
        <f>G160</f>
        <v>58287675.600000001</v>
      </c>
      <c r="H159" s="70">
        <f t="shared" ref="H159:I159" si="65">H160</f>
        <v>58287675.600000001</v>
      </c>
      <c r="I159" s="70">
        <f t="shared" si="65"/>
        <v>58287675.600000001</v>
      </c>
      <c r="J159" s="137"/>
      <c r="K159" s="154"/>
      <c r="L159" s="154"/>
      <c r="M159" s="154"/>
      <c r="N159" s="154"/>
      <c r="O159" s="154"/>
      <c r="P159" s="154"/>
      <c r="Q159" s="154"/>
      <c r="R159" s="154"/>
    </row>
    <row r="160" spans="1:20" ht="120.75" customHeight="1" x14ac:dyDescent="0.25">
      <c r="A160" s="117" t="s">
        <v>434</v>
      </c>
      <c r="B160" s="79" t="s">
        <v>67</v>
      </c>
      <c r="C160" s="79" t="s">
        <v>17</v>
      </c>
      <c r="D160" s="79" t="s">
        <v>19</v>
      </c>
      <c r="E160" s="79" t="s">
        <v>504</v>
      </c>
      <c r="F160" s="15"/>
      <c r="G160" s="70">
        <f t="shared" ref="G160:I160" si="66">G161</f>
        <v>58287675.600000001</v>
      </c>
      <c r="H160" s="70">
        <f t="shared" si="66"/>
        <v>58287675.600000001</v>
      </c>
      <c r="I160" s="81">
        <f t="shared" si="66"/>
        <v>58287675.600000001</v>
      </c>
      <c r="J160" s="137"/>
      <c r="K160" s="142"/>
      <c r="L160" s="142"/>
      <c r="M160" s="142"/>
      <c r="N160" s="142"/>
      <c r="O160" s="142"/>
      <c r="P160" s="142"/>
      <c r="Q160" s="142"/>
      <c r="R160" s="142"/>
      <c r="S160" s="1"/>
      <c r="T160" s="1"/>
    </row>
    <row r="161" spans="1:20" ht="26.4" x14ac:dyDescent="0.25">
      <c r="A161" s="78" t="s">
        <v>21</v>
      </c>
      <c r="B161" s="79" t="s">
        <v>67</v>
      </c>
      <c r="C161" s="79" t="s">
        <v>17</v>
      </c>
      <c r="D161" s="79" t="s">
        <v>19</v>
      </c>
      <c r="E161" s="79" t="s">
        <v>504</v>
      </c>
      <c r="F161" s="79" t="s">
        <v>22</v>
      </c>
      <c r="G161" s="81">
        <f>G162</f>
        <v>58287675.600000001</v>
      </c>
      <c r="H161" s="81">
        <f>H162</f>
        <v>58287675.600000001</v>
      </c>
      <c r="I161" s="81">
        <f>I162</f>
        <v>58287675.600000001</v>
      </c>
      <c r="J161" s="137"/>
      <c r="K161" s="142"/>
      <c r="L161" s="142"/>
      <c r="M161" s="142"/>
      <c r="N161" s="142"/>
      <c r="O161" s="142"/>
      <c r="P161" s="142"/>
      <c r="Q161" s="142"/>
      <c r="R161" s="142"/>
      <c r="S161" s="1"/>
      <c r="T161" s="1"/>
    </row>
    <row r="162" spans="1:20" x14ac:dyDescent="0.25">
      <c r="A162" s="78" t="s">
        <v>23</v>
      </c>
      <c r="B162" s="79" t="s">
        <v>67</v>
      </c>
      <c r="C162" s="79" t="s">
        <v>17</v>
      </c>
      <c r="D162" s="79" t="s">
        <v>19</v>
      </c>
      <c r="E162" s="15" t="s">
        <v>504</v>
      </c>
      <c r="F162" s="79" t="s">
        <v>24</v>
      </c>
      <c r="G162" s="81">
        <f>прил4.!G234</f>
        <v>58287675.600000001</v>
      </c>
      <c r="H162" s="81">
        <f>прил4.!H234</f>
        <v>58287675.600000001</v>
      </c>
      <c r="I162" s="81">
        <f>прил4.!I234</f>
        <v>58287675.600000001</v>
      </c>
      <c r="J162" s="137"/>
      <c r="K162" s="142"/>
      <c r="L162" s="142"/>
      <c r="M162" s="142"/>
      <c r="N162" s="142"/>
      <c r="O162" s="142"/>
      <c r="P162" s="142"/>
      <c r="Q162" s="142"/>
      <c r="R162" s="142"/>
      <c r="S162" s="1"/>
      <c r="T162" s="1"/>
    </row>
    <row r="163" spans="1:20" s="28" customFormat="1" ht="90.75" customHeight="1" x14ac:dyDescent="0.25">
      <c r="A163" s="117" t="s">
        <v>498</v>
      </c>
      <c r="B163" s="15" t="s">
        <v>67</v>
      </c>
      <c r="C163" s="15" t="s">
        <v>48</v>
      </c>
      <c r="D163" s="15" t="s">
        <v>38</v>
      </c>
      <c r="E163" s="15" t="s">
        <v>430</v>
      </c>
      <c r="F163" s="39"/>
      <c r="G163" s="70">
        <f t="shared" ref="G163:I164" si="67">G164</f>
        <v>8690594.4600000009</v>
      </c>
      <c r="H163" s="81">
        <f t="shared" si="67"/>
        <v>11636163.539999999</v>
      </c>
      <c r="I163" s="81">
        <f t="shared" si="67"/>
        <v>11636163.539999999</v>
      </c>
      <c r="J163" s="97">
        <v>9188400</v>
      </c>
      <c r="P163" s="97"/>
      <c r="Q163" s="97"/>
      <c r="R163" s="97"/>
      <c r="S163" s="97"/>
      <c r="T163" s="97"/>
    </row>
    <row r="164" spans="1:20" s="28" customFormat="1" ht="26.4" x14ac:dyDescent="0.25">
      <c r="A164" s="16" t="s">
        <v>21</v>
      </c>
      <c r="B164" s="15" t="s">
        <v>67</v>
      </c>
      <c r="C164" s="15" t="s">
        <v>48</v>
      </c>
      <c r="D164" s="15" t="s">
        <v>38</v>
      </c>
      <c r="E164" s="15" t="s">
        <v>430</v>
      </c>
      <c r="F164" s="15" t="s">
        <v>22</v>
      </c>
      <c r="G164" s="70">
        <f t="shared" si="67"/>
        <v>8690594.4600000009</v>
      </c>
      <c r="H164" s="81">
        <f t="shared" si="67"/>
        <v>11636163.539999999</v>
      </c>
      <c r="I164" s="81">
        <f t="shared" si="67"/>
        <v>11636163.539999999</v>
      </c>
      <c r="J164" s="97">
        <f>SUM(J108:J163)</f>
        <v>561432836</v>
      </c>
      <c r="P164" s="97"/>
      <c r="Q164" s="97"/>
      <c r="R164" s="97"/>
      <c r="S164" s="97"/>
      <c r="T164" s="97"/>
    </row>
    <row r="165" spans="1:20" x14ac:dyDescent="0.25">
      <c r="A165" s="16" t="s">
        <v>23</v>
      </c>
      <c r="B165" s="15" t="s">
        <v>67</v>
      </c>
      <c r="C165" s="15" t="s">
        <v>48</v>
      </c>
      <c r="D165" s="15" t="s">
        <v>38</v>
      </c>
      <c r="E165" s="15" t="s">
        <v>430</v>
      </c>
      <c r="F165" s="15" t="s">
        <v>24</v>
      </c>
      <c r="G165" s="70">
        <f>прил4.!G344</f>
        <v>8690594.4600000009</v>
      </c>
      <c r="H165" s="81">
        <f>прил4.!H344</f>
        <v>11636163.539999999</v>
      </c>
      <c r="I165" s="81">
        <f>прил4.!I344</f>
        <v>11636163.539999999</v>
      </c>
    </row>
    <row r="166" spans="1:20" s="18" customFormat="1" ht="92.4" x14ac:dyDescent="0.25">
      <c r="A166" s="77" t="s">
        <v>345</v>
      </c>
      <c r="B166" s="15" t="s">
        <v>67</v>
      </c>
      <c r="C166" s="15" t="s">
        <v>17</v>
      </c>
      <c r="D166" s="15" t="s">
        <v>19</v>
      </c>
      <c r="E166" s="15" t="s">
        <v>283</v>
      </c>
      <c r="F166" s="15"/>
      <c r="G166" s="70">
        <f t="shared" ref="G166:I167" si="68">G167</f>
        <v>89822</v>
      </c>
      <c r="H166" s="81">
        <f t="shared" si="68"/>
        <v>0</v>
      </c>
      <c r="I166" s="81">
        <f t="shared" si="68"/>
        <v>0</v>
      </c>
      <c r="P166" s="17"/>
      <c r="Q166" s="17"/>
      <c r="R166" s="17"/>
      <c r="S166" s="17"/>
      <c r="T166" s="17"/>
    </row>
    <row r="167" spans="1:20" s="18" customFormat="1" ht="26.4" x14ac:dyDescent="0.25">
      <c r="A167" s="16" t="s">
        <v>21</v>
      </c>
      <c r="B167" s="15" t="s">
        <v>67</v>
      </c>
      <c r="C167" s="15" t="s">
        <v>17</v>
      </c>
      <c r="D167" s="15" t="s">
        <v>19</v>
      </c>
      <c r="E167" s="15" t="s">
        <v>283</v>
      </c>
      <c r="F167" s="15" t="s">
        <v>22</v>
      </c>
      <c r="G167" s="70">
        <f t="shared" si="68"/>
        <v>89822</v>
      </c>
      <c r="H167" s="70">
        <f t="shared" si="68"/>
        <v>0</v>
      </c>
      <c r="I167" s="70">
        <f t="shared" si="68"/>
        <v>0</v>
      </c>
      <c r="P167" s="17"/>
      <c r="Q167" s="17"/>
      <c r="R167" s="17"/>
      <c r="S167" s="17"/>
      <c r="T167" s="17"/>
    </row>
    <row r="168" spans="1:20" s="18" customFormat="1" x14ac:dyDescent="0.25">
      <c r="A168" s="16" t="s">
        <v>23</v>
      </c>
      <c r="B168" s="15" t="s">
        <v>67</v>
      </c>
      <c r="C168" s="15" t="s">
        <v>17</v>
      </c>
      <c r="D168" s="15" t="s">
        <v>19</v>
      </c>
      <c r="E168" s="15" t="s">
        <v>283</v>
      </c>
      <c r="F168" s="15" t="s">
        <v>24</v>
      </c>
      <c r="G168" s="70">
        <f>прил4.!G229</f>
        <v>89822</v>
      </c>
      <c r="H168" s="70">
        <f>прил4.!H229</f>
        <v>0</v>
      </c>
      <c r="I168" s="70">
        <f>прил4.!I229</f>
        <v>0</v>
      </c>
      <c r="P168" s="17"/>
      <c r="Q168" s="17"/>
      <c r="R168" s="17"/>
      <c r="S168" s="17"/>
      <c r="T168" s="17"/>
    </row>
    <row r="169" spans="1:20" ht="39.75" customHeight="1" x14ac:dyDescent="0.25">
      <c r="A169" s="16" t="s">
        <v>277</v>
      </c>
      <c r="B169" s="14">
        <v>774</v>
      </c>
      <c r="C169" s="15" t="s">
        <v>17</v>
      </c>
      <c r="D169" s="15" t="s">
        <v>49</v>
      </c>
      <c r="E169" s="15" t="s">
        <v>279</v>
      </c>
      <c r="F169" s="15"/>
      <c r="G169" s="70">
        <f>G170+G174</f>
        <v>3843710.5299999993</v>
      </c>
      <c r="H169" s="70">
        <f t="shared" ref="H169:O169" si="69">H170+H174</f>
        <v>4015421.9500000007</v>
      </c>
      <c r="I169" s="70">
        <f t="shared" si="69"/>
        <v>4172517.7399999998</v>
      </c>
      <c r="J169" s="70">
        <f t="shared" si="69"/>
        <v>0</v>
      </c>
      <c r="K169" s="70">
        <f t="shared" si="69"/>
        <v>0</v>
      </c>
      <c r="L169" s="70">
        <f t="shared" si="69"/>
        <v>0</v>
      </c>
      <c r="M169" s="70">
        <f t="shared" si="69"/>
        <v>0</v>
      </c>
      <c r="N169" s="70">
        <f t="shared" si="69"/>
        <v>0</v>
      </c>
      <c r="O169" s="70">
        <f t="shared" si="69"/>
        <v>0</v>
      </c>
    </row>
    <row r="170" spans="1:20" ht="34.5" customHeight="1" x14ac:dyDescent="0.25">
      <c r="A170" s="16" t="s">
        <v>21</v>
      </c>
      <c r="B170" s="14">
        <v>774</v>
      </c>
      <c r="C170" s="15" t="s">
        <v>17</v>
      </c>
      <c r="D170" s="15" t="s">
        <v>49</v>
      </c>
      <c r="E170" s="15" t="s">
        <v>279</v>
      </c>
      <c r="F170" s="15" t="s">
        <v>22</v>
      </c>
      <c r="G170" s="70">
        <f>G171+G172+G173</f>
        <v>3735175.9599999995</v>
      </c>
      <c r="H170" s="70">
        <f t="shared" ref="H170:I170" si="70">H171+H172+H173</f>
        <v>3901910.3100000005</v>
      </c>
      <c r="I170" s="70">
        <f t="shared" si="70"/>
        <v>4059643.9899999998</v>
      </c>
      <c r="J170" s="1"/>
    </row>
    <row r="171" spans="1:20" ht="15" customHeight="1" x14ac:dyDescent="0.25">
      <c r="A171" s="16" t="s">
        <v>23</v>
      </c>
      <c r="B171" s="14">
        <v>774</v>
      </c>
      <c r="C171" s="15" t="s">
        <v>17</v>
      </c>
      <c r="D171" s="15" t="s">
        <v>49</v>
      </c>
      <c r="E171" s="15" t="s">
        <v>279</v>
      </c>
      <c r="F171" s="15" t="s">
        <v>24</v>
      </c>
      <c r="G171" s="70">
        <f>прил4.!G278</f>
        <v>3518106.82</v>
      </c>
      <c r="H171" s="70">
        <f>прил4.!H278</f>
        <v>3674887.0300000003</v>
      </c>
      <c r="I171" s="70">
        <f>прил4.!I278</f>
        <v>3833896.4899999998</v>
      </c>
      <c r="J171" s="1"/>
    </row>
    <row r="172" spans="1:20" ht="15" customHeight="1" x14ac:dyDescent="0.25">
      <c r="A172" s="16" t="s">
        <v>276</v>
      </c>
      <c r="B172" s="14">
        <v>774</v>
      </c>
      <c r="C172" s="15" t="s">
        <v>17</v>
      </c>
      <c r="D172" s="15" t="s">
        <v>49</v>
      </c>
      <c r="E172" s="15" t="s">
        <v>279</v>
      </c>
      <c r="F172" s="15" t="s">
        <v>275</v>
      </c>
      <c r="G172" s="70">
        <f>прил4.!G279</f>
        <v>108534.57</v>
      </c>
      <c r="H172" s="70">
        <f>прил4.!H279</f>
        <v>113511.64</v>
      </c>
      <c r="I172" s="70">
        <f>прил4.!I279</f>
        <v>112873.75</v>
      </c>
      <c r="J172" s="1"/>
    </row>
    <row r="173" spans="1:20" ht="36" customHeight="1" x14ac:dyDescent="0.25">
      <c r="A173" s="16" t="s">
        <v>2</v>
      </c>
      <c r="B173" s="14">
        <v>774</v>
      </c>
      <c r="C173" s="15" t="s">
        <v>17</v>
      </c>
      <c r="D173" s="15" t="s">
        <v>49</v>
      </c>
      <c r="E173" s="15" t="s">
        <v>279</v>
      </c>
      <c r="F173" s="15" t="s">
        <v>1</v>
      </c>
      <c r="G173" s="70">
        <f>прил4.!G280</f>
        <v>108534.57</v>
      </c>
      <c r="H173" s="70">
        <f>прил4.!H280</f>
        <v>113511.64</v>
      </c>
      <c r="I173" s="70">
        <f>прил4.!I280</f>
        <v>112873.75</v>
      </c>
      <c r="J173" s="1"/>
    </row>
    <row r="174" spans="1:20" ht="15" customHeight="1" x14ac:dyDescent="0.25">
      <c r="A174" s="16" t="s">
        <v>43</v>
      </c>
      <c r="B174" s="14">
        <v>774</v>
      </c>
      <c r="C174" s="15" t="s">
        <v>17</v>
      </c>
      <c r="D174" s="15" t="s">
        <v>49</v>
      </c>
      <c r="E174" s="15" t="s">
        <v>279</v>
      </c>
      <c r="F174" s="15" t="s">
        <v>44</v>
      </c>
      <c r="G174" s="70">
        <f>G175</f>
        <v>108534.57</v>
      </c>
      <c r="H174" s="70">
        <f t="shared" ref="H174:I174" si="71">H175</f>
        <v>113511.64</v>
      </c>
      <c r="I174" s="70">
        <f t="shared" si="71"/>
        <v>112873.75</v>
      </c>
      <c r="J174" s="1"/>
    </row>
    <row r="175" spans="1:20" ht="51.75" customHeight="1" x14ac:dyDescent="0.25">
      <c r="A175" s="16" t="s">
        <v>245</v>
      </c>
      <c r="B175" s="14">
        <v>774</v>
      </c>
      <c r="C175" s="15" t="s">
        <v>17</v>
      </c>
      <c r="D175" s="15" t="s">
        <v>49</v>
      </c>
      <c r="E175" s="15" t="s">
        <v>279</v>
      </c>
      <c r="F175" s="15" t="s">
        <v>211</v>
      </c>
      <c r="G175" s="70">
        <f>прил4.!G282</f>
        <v>108534.57</v>
      </c>
      <c r="H175" s="70">
        <f>прил4.!H282</f>
        <v>113511.64</v>
      </c>
      <c r="I175" s="70">
        <f>прил4.!I282</f>
        <v>112873.75</v>
      </c>
      <c r="J175" s="1"/>
    </row>
    <row r="176" spans="1:20" s="28" customFormat="1" ht="87.75" customHeight="1" x14ac:dyDescent="0.25">
      <c r="A176" s="117" t="s">
        <v>427</v>
      </c>
      <c r="B176" s="15" t="s">
        <v>67</v>
      </c>
      <c r="C176" s="15" t="s">
        <v>48</v>
      </c>
      <c r="D176" s="15" t="s">
        <v>38</v>
      </c>
      <c r="E176" s="15" t="s">
        <v>289</v>
      </c>
      <c r="F176" s="39"/>
      <c r="G176" s="70">
        <f t="shared" ref="G176:I177" si="72">G177</f>
        <v>19533276.220000003</v>
      </c>
      <c r="H176" s="70">
        <f t="shared" si="72"/>
        <v>16892301.850000001</v>
      </c>
      <c r="I176" s="70">
        <f t="shared" si="72"/>
        <v>16295268.02</v>
      </c>
      <c r="P176" s="97"/>
      <c r="Q176" s="97"/>
      <c r="R176" s="97"/>
      <c r="S176" s="97"/>
      <c r="T176" s="97"/>
    </row>
    <row r="177" spans="1:20" s="28" customFormat="1" ht="26.4" x14ac:dyDescent="0.25">
      <c r="A177" s="78" t="s">
        <v>21</v>
      </c>
      <c r="B177" s="15" t="s">
        <v>67</v>
      </c>
      <c r="C177" s="15" t="s">
        <v>48</v>
      </c>
      <c r="D177" s="15" t="s">
        <v>38</v>
      </c>
      <c r="E177" s="15" t="s">
        <v>289</v>
      </c>
      <c r="F177" s="15" t="s">
        <v>22</v>
      </c>
      <c r="G177" s="70">
        <f t="shared" si="72"/>
        <v>19533276.220000003</v>
      </c>
      <c r="H177" s="70">
        <f t="shared" si="72"/>
        <v>16892301.850000001</v>
      </c>
      <c r="I177" s="70">
        <f t="shared" si="72"/>
        <v>16295268.02</v>
      </c>
      <c r="P177" s="97"/>
      <c r="Q177" s="97"/>
      <c r="R177" s="97"/>
      <c r="S177" s="97"/>
      <c r="T177" s="97"/>
    </row>
    <row r="178" spans="1:20" x14ac:dyDescent="0.25">
      <c r="A178" s="78" t="s">
        <v>23</v>
      </c>
      <c r="B178" s="15" t="s">
        <v>67</v>
      </c>
      <c r="C178" s="15" t="s">
        <v>48</v>
      </c>
      <c r="D178" s="15" t="s">
        <v>38</v>
      </c>
      <c r="E178" s="15" t="s">
        <v>289</v>
      </c>
      <c r="F178" s="15" t="s">
        <v>24</v>
      </c>
      <c r="G178" s="70">
        <f>прил4.!G347</f>
        <v>19533276.220000003</v>
      </c>
      <c r="H178" s="81">
        <f>прил4.!H347</f>
        <v>16892301.850000001</v>
      </c>
      <c r="I178" s="81">
        <f>прил4.!I347</f>
        <v>16295268.02</v>
      </c>
      <c r="J178" s="1"/>
    </row>
    <row r="179" spans="1:20" ht="42" customHeight="1" x14ac:dyDescent="0.25">
      <c r="A179" s="78" t="s">
        <v>393</v>
      </c>
      <c r="B179" s="14">
        <v>774</v>
      </c>
      <c r="C179" s="15" t="s">
        <v>17</v>
      </c>
      <c r="D179" s="15" t="s">
        <v>19</v>
      </c>
      <c r="E179" s="15" t="s">
        <v>134</v>
      </c>
      <c r="F179" s="15"/>
      <c r="G179" s="70">
        <f>G183+G185+G188+G194+G191+G180</f>
        <v>16708894.48</v>
      </c>
      <c r="H179" s="70">
        <f t="shared" ref="H179:I179" si="73">H183+H185+H188+H194+H191</f>
        <v>5419021.4000000004</v>
      </c>
      <c r="I179" s="70">
        <f t="shared" si="73"/>
        <v>5453240</v>
      </c>
      <c r="J179" s="1"/>
    </row>
    <row r="180" spans="1:20" s="3" customFormat="1" ht="52.8" x14ac:dyDescent="0.25">
      <c r="A180" s="78" t="s">
        <v>537</v>
      </c>
      <c r="B180" s="120">
        <v>774</v>
      </c>
      <c r="C180" s="79" t="s">
        <v>17</v>
      </c>
      <c r="D180" s="79" t="s">
        <v>19</v>
      </c>
      <c r="E180" s="79" t="s">
        <v>538</v>
      </c>
      <c r="F180" s="79"/>
      <c r="G180" s="81">
        <f t="shared" ref="G180:I181" si="74">G181</f>
        <v>148801.47</v>
      </c>
      <c r="H180" s="81">
        <f t="shared" si="74"/>
        <v>0</v>
      </c>
      <c r="I180" s="81">
        <f t="shared" si="74"/>
        <v>0</v>
      </c>
      <c r="J180" s="137"/>
      <c r="K180" s="153"/>
      <c r="L180" s="153"/>
      <c r="M180" s="153"/>
      <c r="N180" s="153"/>
      <c r="O180" s="153"/>
      <c r="P180" s="153"/>
      <c r="Q180" s="153"/>
      <c r="R180" s="153"/>
    </row>
    <row r="181" spans="1:20" s="3" customFormat="1" ht="26.4" x14ac:dyDescent="0.25">
      <c r="A181" s="78" t="s">
        <v>21</v>
      </c>
      <c r="B181" s="120">
        <v>774</v>
      </c>
      <c r="C181" s="79" t="s">
        <v>17</v>
      </c>
      <c r="D181" s="79" t="s">
        <v>19</v>
      </c>
      <c r="E181" s="79" t="s">
        <v>538</v>
      </c>
      <c r="F181" s="79" t="s">
        <v>22</v>
      </c>
      <c r="G181" s="81">
        <f t="shared" si="74"/>
        <v>148801.47</v>
      </c>
      <c r="H181" s="81">
        <f t="shared" si="74"/>
        <v>0</v>
      </c>
      <c r="I181" s="81">
        <f t="shared" si="74"/>
        <v>0</v>
      </c>
      <c r="J181" s="137"/>
      <c r="K181" s="153"/>
      <c r="L181" s="153"/>
      <c r="M181" s="153"/>
      <c r="N181" s="153"/>
      <c r="O181" s="153"/>
      <c r="P181" s="153"/>
      <c r="Q181" s="153"/>
      <c r="R181" s="153"/>
    </row>
    <row r="182" spans="1:20" s="3" customFormat="1" x14ac:dyDescent="0.25">
      <c r="A182" s="78" t="s">
        <v>23</v>
      </c>
      <c r="B182" s="120">
        <v>774</v>
      </c>
      <c r="C182" s="79" t="s">
        <v>17</v>
      </c>
      <c r="D182" s="79" t="s">
        <v>19</v>
      </c>
      <c r="E182" s="79" t="s">
        <v>538</v>
      </c>
      <c r="F182" s="79" t="s">
        <v>24</v>
      </c>
      <c r="G182" s="81">
        <f>прил4.!G238</f>
        <v>148801.47</v>
      </c>
      <c r="H182" s="81"/>
      <c r="I182" s="81"/>
      <c r="J182" s="137"/>
      <c r="K182" s="153"/>
      <c r="L182" s="153"/>
      <c r="M182" s="153"/>
      <c r="N182" s="153"/>
      <c r="O182" s="153"/>
      <c r="P182" s="153"/>
      <c r="Q182" s="153"/>
      <c r="R182" s="153"/>
    </row>
    <row r="183" spans="1:20" s="3" customFormat="1" ht="44.25" customHeight="1" x14ac:dyDescent="0.25">
      <c r="A183" s="78" t="s">
        <v>298</v>
      </c>
      <c r="B183" s="14">
        <v>774</v>
      </c>
      <c r="C183" s="15" t="s">
        <v>17</v>
      </c>
      <c r="D183" s="15" t="s">
        <v>10</v>
      </c>
      <c r="E183" s="15" t="s">
        <v>247</v>
      </c>
      <c r="F183" s="15" t="s">
        <v>22</v>
      </c>
      <c r="G183" s="70">
        <f>G184</f>
        <v>4400000</v>
      </c>
      <c r="H183" s="70">
        <f t="shared" ref="H183:I183" si="75">H184</f>
        <v>4576000</v>
      </c>
      <c r="I183" s="70">
        <f t="shared" si="75"/>
        <v>4759040</v>
      </c>
      <c r="J183" s="99"/>
      <c r="P183" s="99"/>
      <c r="Q183" s="99"/>
      <c r="R183" s="99"/>
      <c r="S183" s="99"/>
      <c r="T183" s="99"/>
    </row>
    <row r="184" spans="1:20" s="3" customFormat="1" x14ac:dyDescent="0.25">
      <c r="A184" s="78" t="s">
        <v>23</v>
      </c>
      <c r="B184" s="14">
        <v>774</v>
      </c>
      <c r="C184" s="15" t="s">
        <v>17</v>
      </c>
      <c r="D184" s="15" t="s">
        <v>10</v>
      </c>
      <c r="E184" s="15" t="s">
        <v>247</v>
      </c>
      <c r="F184" s="15" t="s">
        <v>24</v>
      </c>
      <c r="G184" s="70">
        <f>прил4.!G241</f>
        <v>4400000</v>
      </c>
      <c r="H184" s="70">
        <f>прил4.!H241</f>
        <v>4576000</v>
      </c>
      <c r="I184" s="70">
        <f>прил4.!I241</f>
        <v>4759040</v>
      </c>
      <c r="J184" s="99"/>
      <c r="P184" s="99"/>
      <c r="Q184" s="99"/>
      <c r="R184" s="99"/>
      <c r="S184" s="99"/>
      <c r="T184" s="99"/>
    </row>
    <row r="185" spans="1:20" s="3" customFormat="1" ht="26.4" x14ac:dyDescent="0.25">
      <c r="A185" s="78" t="s">
        <v>339</v>
      </c>
      <c r="B185" s="14">
        <v>774</v>
      </c>
      <c r="C185" s="15" t="s">
        <v>17</v>
      </c>
      <c r="D185" s="15" t="s">
        <v>19</v>
      </c>
      <c r="E185" s="15" t="s">
        <v>135</v>
      </c>
      <c r="F185" s="15"/>
      <c r="G185" s="70">
        <f t="shared" ref="G185:I186" si="76">G186</f>
        <v>9393830</v>
      </c>
      <c r="H185" s="70">
        <f t="shared" si="76"/>
        <v>0</v>
      </c>
      <c r="I185" s="70">
        <f t="shared" si="76"/>
        <v>0</v>
      </c>
      <c r="J185" s="99"/>
      <c r="P185" s="99"/>
      <c r="Q185" s="99"/>
      <c r="R185" s="99"/>
      <c r="S185" s="99"/>
      <c r="T185" s="99"/>
    </row>
    <row r="186" spans="1:20" s="3" customFormat="1" ht="26.4" x14ac:dyDescent="0.25">
      <c r="A186" s="78" t="s">
        <v>21</v>
      </c>
      <c r="B186" s="14">
        <v>774</v>
      </c>
      <c r="C186" s="15" t="s">
        <v>17</v>
      </c>
      <c r="D186" s="15" t="s">
        <v>19</v>
      </c>
      <c r="E186" s="15" t="s">
        <v>135</v>
      </c>
      <c r="F186" s="15" t="s">
        <v>22</v>
      </c>
      <c r="G186" s="70">
        <f t="shared" si="76"/>
        <v>9393830</v>
      </c>
      <c r="H186" s="70">
        <f t="shared" si="76"/>
        <v>0</v>
      </c>
      <c r="I186" s="70">
        <f t="shared" si="76"/>
        <v>0</v>
      </c>
      <c r="J186" s="99"/>
      <c r="P186" s="99"/>
      <c r="Q186" s="99"/>
      <c r="R186" s="99"/>
      <c r="S186" s="99"/>
      <c r="T186" s="99"/>
    </row>
    <row r="187" spans="1:20" s="3" customFormat="1" x14ac:dyDescent="0.25">
      <c r="A187" s="16" t="s">
        <v>23</v>
      </c>
      <c r="B187" s="14">
        <v>774</v>
      </c>
      <c r="C187" s="15" t="s">
        <v>17</v>
      </c>
      <c r="D187" s="15" t="s">
        <v>19</v>
      </c>
      <c r="E187" s="15" t="s">
        <v>135</v>
      </c>
      <c r="F187" s="15" t="s">
        <v>24</v>
      </c>
      <c r="G187" s="70">
        <f>прил4.!G244+прил4.!G202</f>
        <v>9393830</v>
      </c>
      <c r="H187" s="70">
        <f>прил4.!H244+прил4.!H202</f>
        <v>0</v>
      </c>
      <c r="I187" s="70">
        <f>прил4.!I244+прил4.!I202</f>
        <v>0</v>
      </c>
      <c r="J187" s="99"/>
      <c r="P187" s="99"/>
      <c r="Q187" s="99"/>
      <c r="R187" s="99"/>
      <c r="S187" s="99"/>
      <c r="T187" s="99"/>
    </row>
    <row r="188" spans="1:20" s="3" customFormat="1" ht="26.4" x14ac:dyDescent="0.25">
      <c r="A188" s="16" t="s">
        <v>335</v>
      </c>
      <c r="B188" s="14">
        <v>774</v>
      </c>
      <c r="C188" s="15" t="s">
        <v>17</v>
      </c>
      <c r="D188" s="15" t="s">
        <v>19</v>
      </c>
      <c r="E188" s="79" t="s">
        <v>334</v>
      </c>
      <c r="F188" s="15"/>
      <c r="G188" s="70">
        <f t="shared" ref="G188:I189" si="77">G189</f>
        <v>250000</v>
      </c>
      <c r="H188" s="70">
        <f t="shared" si="77"/>
        <v>500000</v>
      </c>
      <c r="I188" s="70">
        <f t="shared" si="77"/>
        <v>500000</v>
      </c>
      <c r="J188" s="137"/>
      <c r="K188" s="153"/>
      <c r="L188" s="153"/>
      <c r="M188" s="153"/>
      <c r="N188" s="153"/>
      <c r="O188" s="153"/>
      <c r="P188" s="153"/>
      <c r="Q188" s="153"/>
      <c r="R188" s="153"/>
    </row>
    <row r="189" spans="1:20" s="3" customFormat="1" ht="26.4" x14ac:dyDescent="0.25">
      <c r="A189" s="16" t="s">
        <v>21</v>
      </c>
      <c r="B189" s="14">
        <v>774</v>
      </c>
      <c r="C189" s="15" t="s">
        <v>17</v>
      </c>
      <c r="D189" s="15" t="s">
        <v>19</v>
      </c>
      <c r="E189" s="79" t="s">
        <v>334</v>
      </c>
      <c r="F189" s="15" t="s">
        <v>22</v>
      </c>
      <c r="G189" s="70">
        <f t="shared" si="77"/>
        <v>250000</v>
      </c>
      <c r="H189" s="70">
        <f t="shared" si="77"/>
        <v>500000</v>
      </c>
      <c r="I189" s="70">
        <f t="shared" si="77"/>
        <v>500000</v>
      </c>
      <c r="J189" s="137"/>
      <c r="K189" s="153"/>
      <c r="L189" s="153"/>
      <c r="M189" s="153"/>
      <c r="N189" s="153"/>
      <c r="O189" s="153"/>
      <c r="P189" s="153"/>
      <c r="Q189" s="153"/>
      <c r="R189" s="153"/>
    </row>
    <row r="190" spans="1:20" s="3" customFormat="1" x14ac:dyDescent="0.25">
      <c r="A190" s="78" t="s">
        <v>23</v>
      </c>
      <c r="B190" s="14">
        <v>774</v>
      </c>
      <c r="C190" s="15" t="s">
        <v>17</v>
      </c>
      <c r="D190" s="15" t="s">
        <v>19</v>
      </c>
      <c r="E190" s="79" t="s">
        <v>334</v>
      </c>
      <c r="F190" s="15" t="s">
        <v>24</v>
      </c>
      <c r="G190" s="70">
        <f>прил4.!G247+прил4.!G196+прил4.!G286</f>
        <v>250000</v>
      </c>
      <c r="H190" s="70">
        <f>прил4.!H247+прил4.!H196+прил4.!H286</f>
        <v>500000</v>
      </c>
      <c r="I190" s="70">
        <f>прил4.!I247+прил4.!I196+прил4.!I286</f>
        <v>500000</v>
      </c>
      <c r="J190" s="137"/>
      <c r="K190" s="153"/>
      <c r="L190" s="153"/>
      <c r="M190" s="153"/>
      <c r="N190" s="153"/>
      <c r="O190" s="153"/>
      <c r="P190" s="153"/>
      <c r="Q190" s="153"/>
      <c r="R190" s="153"/>
    </row>
    <row r="191" spans="1:20" s="3" customFormat="1" ht="25.5" customHeight="1" x14ac:dyDescent="0.25">
      <c r="A191" s="16" t="s">
        <v>536</v>
      </c>
      <c r="B191" s="14">
        <v>774</v>
      </c>
      <c r="C191" s="15" t="s">
        <v>17</v>
      </c>
      <c r="D191" s="15" t="s">
        <v>10</v>
      </c>
      <c r="E191" s="15" t="s">
        <v>535</v>
      </c>
      <c r="F191" s="79"/>
      <c r="G191" s="81">
        <f t="shared" ref="G191:I192" si="78">G192</f>
        <v>2194390.0099999998</v>
      </c>
      <c r="H191" s="81">
        <f t="shared" si="78"/>
        <v>0</v>
      </c>
      <c r="I191" s="81">
        <f t="shared" si="78"/>
        <v>0</v>
      </c>
      <c r="J191" s="137"/>
      <c r="K191" s="153"/>
      <c r="L191" s="153"/>
      <c r="M191" s="153"/>
      <c r="N191" s="153"/>
      <c r="O191" s="153"/>
      <c r="P191" s="153"/>
      <c r="Q191" s="153"/>
      <c r="R191" s="153"/>
    </row>
    <row r="192" spans="1:20" s="3" customFormat="1" ht="26.4" x14ac:dyDescent="0.25">
      <c r="A192" s="16" t="s">
        <v>21</v>
      </c>
      <c r="B192" s="14">
        <v>774</v>
      </c>
      <c r="C192" s="15" t="s">
        <v>17</v>
      </c>
      <c r="D192" s="15" t="s">
        <v>10</v>
      </c>
      <c r="E192" s="15" t="s">
        <v>535</v>
      </c>
      <c r="F192" s="79" t="s">
        <v>22</v>
      </c>
      <c r="G192" s="81">
        <f t="shared" si="78"/>
        <v>2194390.0099999998</v>
      </c>
      <c r="H192" s="81">
        <f t="shared" si="78"/>
        <v>0</v>
      </c>
      <c r="I192" s="81">
        <f t="shared" si="78"/>
        <v>0</v>
      </c>
      <c r="J192" s="137"/>
      <c r="K192" s="153"/>
      <c r="L192" s="153"/>
      <c r="M192" s="153"/>
      <c r="N192" s="153"/>
      <c r="O192" s="153"/>
      <c r="P192" s="153"/>
      <c r="Q192" s="153"/>
      <c r="R192" s="153"/>
    </row>
    <row r="193" spans="1:20" s="3" customFormat="1" x14ac:dyDescent="0.25">
      <c r="A193" s="16" t="s">
        <v>23</v>
      </c>
      <c r="B193" s="14">
        <v>774</v>
      </c>
      <c r="C193" s="15" t="s">
        <v>17</v>
      </c>
      <c r="D193" s="15" t="s">
        <v>10</v>
      </c>
      <c r="E193" s="15" t="s">
        <v>535</v>
      </c>
      <c r="F193" s="79" t="s">
        <v>24</v>
      </c>
      <c r="G193" s="70">
        <f>прил4.!G205+прил4.!G250</f>
        <v>2194390.0099999998</v>
      </c>
      <c r="H193" s="70">
        <f>прил4.!H205+прил4.!H250</f>
        <v>0</v>
      </c>
      <c r="I193" s="70">
        <f>прил4.!I205+прил4.!I250</f>
        <v>0</v>
      </c>
      <c r="J193" s="137"/>
      <c r="K193" s="153"/>
      <c r="L193" s="153"/>
      <c r="M193" s="153"/>
      <c r="N193" s="153"/>
      <c r="O193" s="153"/>
      <c r="P193" s="153"/>
      <c r="Q193" s="153"/>
      <c r="R193" s="153"/>
    </row>
    <row r="194" spans="1:20" s="3" customFormat="1" ht="26.4" x14ac:dyDescent="0.25">
      <c r="A194" s="16" t="s">
        <v>186</v>
      </c>
      <c r="B194" s="14">
        <v>774</v>
      </c>
      <c r="C194" s="15" t="s">
        <v>17</v>
      </c>
      <c r="D194" s="15" t="s">
        <v>19</v>
      </c>
      <c r="E194" s="15" t="s">
        <v>185</v>
      </c>
      <c r="F194" s="15"/>
      <c r="G194" s="70">
        <f t="shared" ref="G194:I195" si="79">G195</f>
        <v>321873</v>
      </c>
      <c r="H194" s="70">
        <f t="shared" si="79"/>
        <v>343021.4</v>
      </c>
      <c r="I194" s="70">
        <f t="shared" si="79"/>
        <v>194200</v>
      </c>
      <c r="J194" s="99"/>
      <c r="P194" s="99"/>
      <c r="Q194" s="99"/>
      <c r="R194" s="99"/>
      <c r="S194" s="99"/>
      <c r="T194" s="99"/>
    </row>
    <row r="195" spans="1:20" s="3" customFormat="1" ht="26.4" x14ac:dyDescent="0.25">
      <c r="A195" s="16" t="s">
        <v>21</v>
      </c>
      <c r="B195" s="14">
        <v>774</v>
      </c>
      <c r="C195" s="15" t="s">
        <v>17</v>
      </c>
      <c r="D195" s="15" t="s">
        <v>19</v>
      </c>
      <c r="E195" s="15" t="s">
        <v>185</v>
      </c>
      <c r="F195" s="15" t="s">
        <v>22</v>
      </c>
      <c r="G195" s="70">
        <f t="shared" si="79"/>
        <v>321873</v>
      </c>
      <c r="H195" s="70">
        <f t="shared" si="79"/>
        <v>343021.4</v>
      </c>
      <c r="I195" s="70">
        <f t="shared" si="79"/>
        <v>194200</v>
      </c>
      <c r="J195" s="99"/>
      <c r="P195" s="99"/>
      <c r="Q195" s="99"/>
      <c r="R195" s="99"/>
      <c r="S195" s="99"/>
      <c r="T195" s="99"/>
    </row>
    <row r="196" spans="1:20" s="3" customFormat="1" x14ac:dyDescent="0.25">
      <c r="A196" s="16" t="s">
        <v>23</v>
      </c>
      <c r="B196" s="14">
        <v>774</v>
      </c>
      <c r="C196" s="15" t="s">
        <v>17</v>
      </c>
      <c r="D196" s="15" t="s">
        <v>19</v>
      </c>
      <c r="E196" s="15" t="s">
        <v>185</v>
      </c>
      <c r="F196" s="15" t="s">
        <v>24</v>
      </c>
      <c r="G196" s="70">
        <f>прил4.!G199+прил4.!G253+прил4.!G289</f>
        <v>321873</v>
      </c>
      <c r="H196" s="70">
        <f>прил4.!H199+прил4.!H253+прил4.!H289</f>
        <v>343021.4</v>
      </c>
      <c r="I196" s="70">
        <f>прил4.!I199+прил4.!I253+прил4.!I289</f>
        <v>194200</v>
      </c>
      <c r="J196" s="99"/>
      <c r="P196" s="99"/>
      <c r="Q196" s="99"/>
      <c r="R196" s="99"/>
      <c r="S196" s="99"/>
      <c r="T196" s="99"/>
    </row>
    <row r="197" spans="1:20" s="18" customFormat="1" ht="21.75" customHeight="1" x14ac:dyDescent="0.25">
      <c r="A197" s="13" t="s">
        <v>76</v>
      </c>
      <c r="B197" s="15" t="s">
        <v>36</v>
      </c>
      <c r="C197" s="15" t="s">
        <v>17</v>
      </c>
      <c r="D197" s="15" t="s">
        <v>17</v>
      </c>
      <c r="E197" s="15" t="s">
        <v>109</v>
      </c>
      <c r="F197" s="15"/>
      <c r="G197" s="70">
        <f>G198+G201</f>
        <v>5255158.41</v>
      </c>
      <c r="H197" s="70">
        <f t="shared" ref="H197:I197" si="80">H198+H201</f>
        <v>5445364.75</v>
      </c>
      <c r="I197" s="70">
        <f t="shared" si="80"/>
        <v>5643148.8200000003</v>
      </c>
      <c r="J197" s="17"/>
      <c r="P197" s="17"/>
      <c r="Q197" s="17"/>
      <c r="R197" s="17"/>
      <c r="S197" s="17"/>
      <c r="T197" s="17"/>
    </row>
    <row r="198" spans="1:20" s="18" customFormat="1" ht="80.25" customHeight="1" x14ac:dyDescent="0.25">
      <c r="A198" s="117" t="s">
        <v>496</v>
      </c>
      <c r="B198" s="79" t="s">
        <v>67</v>
      </c>
      <c r="C198" s="79" t="s">
        <v>17</v>
      </c>
      <c r="D198" s="79" t="s">
        <v>17</v>
      </c>
      <c r="E198" s="79" t="s">
        <v>429</v>
      </c>
      <c r="F198" s="79"/>
      <c r="G198" s="81">
        <f t="shared" ref="G198:I199" si="81">G199</f>
        <v>4755158.41</v>
      </c>
      <c r="H198" s="81">
        <f t="shared" si="81"/>
        <v>4945364.75</v>
      </c>
      <c r="I198" s="81">
        <f t="shared" si="81"/>
        <v>5143148.82</v>
      </c>
      <c r="J198" s="17"/>
      <c r="P198" s="17"/>
      <c r="Q198" s="17"/>
      <c r="R198" s="17"/>
      <c r="S198" s="17"/>
      <c r="T198" s="17"/>
    </row>
    <row r="199" spans="1:20" s="18" customFormat="1" ht="33" customHeight="1" x14ac:dyDescent="0.25">
      <c r="A199" s="78" t="s">
        <v>21</v>
      </c>
      <c r="B199" s="79" t="s">
        <v>67</v>
      </c>
      <c r="C199" s="79" t="s">
        <v>17</v>
      </c>
      <c r="D199" s="79" t="s">
        <v>17</v>
      </c>
      <c r="E199" s="79" t="s">
        <v>429</v>
      </c>
      <c r="F199" s="79" t="s">
        <v>22</v>
      </c>
      <c r="G199" s="81">
        <f t="shared" si="81"/>
        <v>4755158.41</v>
      </c>
      <c r="H199" s="81">
        <f t="shared" si="81"/>
        <v>4945364.75</v>
      </c>
      <c r="I199" s="81">
        <f t="shared" si="81"/>
        <v>5143148.82</v>
      </c>
      <c r="J199" s="17"/>
      <c r="P199" s="17"/>
      <c r="Q199" s="17"/>
      <c r="R199" s="17"/>
      <c r="S199" s="17"/>
      <c r="T199" s="17"/>
    </row>
    <row r="200" spans="1:20" s="18" customFormat="1" x14ac:dyDescent="0.25">
      <c r="A200" s="78" t="s">
        <v>23</v>
      </c>
      <c r="B200" s="79" t="s">
        <v>67</v>
      </c>
      <c r="C200" s="79" t="s">
        <v>17</v>
      </c>
      <c r="D200" s="79" t="s">
        <v>17</v>
      </c>
      <c r="E200" s="79" t="s">
        <v>429</v>
      </c>
      <c r="F200" s="79" t="s">
        <v>24</v>
      </c>
      <c r="G200" s="81">
        <f>прил4.!G305</f>
        <v>4755158.41</v>
      </c>
      <c r="H200" s="81">
        <f>прил4.!H305</f>
        <v>4945364.75</v>
      </c>
      <c r="I200" s="81">
        <f>прил4.!I305</f>
        <v>5143148.82</v>
      </c>
      <c r="J200" s="17"/>
      <c r="P200" s="17"/>
      <c r="Q200" s="17"/>
      <c r="R200" s="17"/>
      <c r="S200" s="17"/>
      <c r="T200" s="17"/>
    </row>
    <row r="201" spans="1:20" s="18" customFormat="1" ht="75" customHeight="1" x14ac:dyDescent="0.25">
      <c r="A201" s="111" t="s">
        <v>81</v>
      </c>
      <c r="B201" s="79" t="s">
        <v>67</v>
      </c>
      <c r="C201" s="79" t="s">
        <v>17</v>
      </c>
      <c r="D201" s="79" t="s">
        <v>17</v>
      </c>
      <c r="E201" s="79" t="s">
        <v>110</v>
      </c>
      <c r="F201" s="79"/>
      <c r="G201" s="81">
        <f>G202</f>
        <v>500000</v>
      </c>
      <c r="H201" s="81">
        <f t="shared" ref="H201:I201" si="82">H202</f>
        <v>500000</v>
      </c>
      <c r="I201" s="81">
        <f t="shared" si="82"/>
        <v>500000</v>
      </c>
      <c r="J201" s="17"/>
      <c r="P201" s="17"/>
      <c r="Q201" s="17"/>
      <c r="R201" s="17"/>
      <c r="S201" s="17"/>
      <c r="T201" s="17"/>
    </row>
    <row r="202" spans="1:20" s="18" customFormat="1" ht="26.4" x14ac:dyDescent="0.25">
      <c r="A202" s="16" t="s">
        <v>21</v>
      </c>
      <c r="B202" s="15" t="s">
        <v>67</v>
      </c>
      <c r="C202" s="15" t="s">
        <v>17</v>
      </c>
      <c r="D202" s="15" t="s">
        <v>17</v>
      </c>
      <c r="E202" s="15" t="s">
        <v>110</v>
      </c>
      <c r="F202" s="15" t="s">
        <v>22</v>
      </c>
      <c r="G202" s="70">
        <f>G203</f>
        <v>500000</v>
      </c>
      <c r="H202" s="70">
        <f t="shared" ref="H202:I202" si="83">H203</f>
        <v>500000</v>
      </c>
      <c r="I202" s="70">
        <f t="shared" si="83"/>
        <v>500000</v>
      </c>
      <c r="J202" s="17"/>
      <c r="P202" s="17"/>
      <c r="Q202" s="17"/>
      <c r="R202" s="17"/>
      <c r="S202" s="17"/>
      <c r="T202" s="17"/>
    </row>
    <row r="203" spans="1:20" s="18" customFormat="1" x14ac:dyDescent="0.25">
      <c r="A203" s="16" t="s">
        <v>23</v>
      </c>
      <c r="B203" s="15" t="s">
        <v>67</v>
      </c>
      <c r="C203" s="15" t="s">
        <v>17</v>
      </c>
      <c r="D203" s="15" t="s">
        <v>17</v>
      </c>
      <c r="E203" s="15" t="s">
        <v>110</v>
      </c>
      <c r="F203" s="15" t="s">
        <v>24</v>
      </c>
      <c r="G203" s="70">
        <f>прил4.!G308</f>
        <v>500000</v>
      </c>
      <c r="H203" s="70">
        <f>прил4.!H308</f>
        <v>500000</v>
      </c>
      <c r="I203" s="70">
        <f>прил4.!I308</f>
        <v>500000</v>
      </c>
      <c r="J203" s="17"/>
      <c r="P203" s="17"/>
      <c r="Q203" s="17"/>
      <c r="R203" s="17"/>
      <c r="S203" s="17"/>
      <c r="T203" s="17"/>
    </row>
    <row r="204" spans="1:20" s="3" customFormat="1" ht="29.25" customHeight="1" x14ac:dyDescent="0.25">
      <c r="A204" s="78" t="s">
        <v>15</v>
      </c>
      <c r="B204" s="14">
        <v>774</v>
      </c>
      <c r="C204" s="15" t="s">
        <v>17</v>
      </c>
      <c r="D204" s="15" t="s">
        <v>19</v>
      </c>
      <c r="E204" s="15" t="s">
        <v>138</v>
      </c>
      <c r="F204" s="15"/>
      <c r="G204" s="70">
        <f>G205</f>
        <v>867635.3600000001</v>
      </c>
      <c r="H204" s="70">
        <f t="shared" ref="H204:I204" si="84">H205</f>
        <v>1502341.08</v>
      </c>
      <c r="I204" s="70">
        <f t="shared" si="84"/>
        <v>1502341.08</v>
      </c>
      <c r="J204" s="99"/>
      <c r="P204" s="99"/>
      <c r="Q204" s="99"/>
      <c r="R204" s="99"/>
      <c r="S204" s="99"/>
      <c r="T204" s="99"/>
    </row>
    <row r="205" spans="1:20" s="3" customFormat="1" ht="44.4" customHeight="1" x14ac:dyDescent="0.25">
      <c r="A205" s="78" t="s">
        <v>550</v>
      </c>
      <c r="B205" s="14">
        <v>774</v>
      </c>
      <c r="C205" s="15" t="s">
        <v>17</v>
      </c>
      <c r="D205" s="15" t="s">
        <v>19</v>
      </c>
      <c r="E205" s="15" t="s">
        <v>139</v>
      </c>
      <c r="F205" s="15"/>
      <c r="G205" s="81">
        <f>G206</f>
        <v>867635.3600000001</v>
      </c>
      <c r="H205" s="81">
        <f t="shared" ref="H205:I205" si="85">H206</f>
        <v>1502341.08</v>
      </c>
      <c r="I205" s="81">
        <f t="shared" si="85"/>
        <v>1502341.08</v>
      </c>
      <c r="J205" s="99"/>
      <c r="P205" s="99"/>
      <c r="Q205" s="99"/>
      <c r="R205" s="99"/>
      <c r="S205" s="99"/>
      <c r="T205" s="99"/>
    </row>
    <row r="206" spans="1:20" s="18" customFormat="1" ht="26.4" x14ac:dyDescent="0.25">
      <c r="A206" s="16" t="s">
        <v>21</v>
      </c>
      <c r="B206" s="15" t="s">
        <v>67</v>
      </c>
      <c r="C206" s="15" t="s">
        <v>17</v>
      </c>
      <c r="D206" s="15" t="s">
        <v>19</v>
      </c>
      <c r="E206" s="15" t="s">
        <v>139</v>
      </c>
      <c r="F206" s="15" t="s">
        <v>22</v>
      </c>
      <c r="G206" s="81">
        <f>G207</f>
        <v>867635.3600000001</v>
      </c>
      <c r="H206" s="81">
        <f t="shared" ref="H206:O206" si="86">H207</f>
        <v>1502341.08</v>
      </c>
      <c r="I206" s="81">
        <f t="shared" si="86"/>
        <v>1502341.08</v>
      </c>
      <c r="J206" s="81">
        <f t="shared" si="86"/>
        <v>0</v>
      </c>
      <c r="K206" s="81">
        <f t="shared" si="86"/>
        <v>0</v>
      </c>
      <c r="L206" s="81">
        <f t="shared" si="86"/>
        <v>0</v>
      </c>
      <c r="M206" s="81">
        <f t="shared" si="86"/>
        <v>0</v>
      </c>
      <c r="N206" s="81">
        <f t="shared" si="86"/>
        <v>0</v>
      </c>
      <c r="O206" s="81">
        <f t="shared" si="86"/>
        <v>0</v>
      </c>
      <c r="P206" s="17"/>
      <c r="Q206" s="17"/>
      <c r="R206" s="17"/>
      <c r="S206" s="17"/>
      <c r="T206" s="17"/>
    </row>
    <row r="207" spans="1:20" s="18" customFormat="1" x14ac:dyDescent="0.25">
      <c r="A207" s="16" t="s">
        <v>23</v>
      </c>
      <c r="B207" s="15" t="s">
        <v>67</v>
      </c>
      <c r="C207" s="15" t="s">
        <v>17</v>
      </c>
      <c r="D207" s="15" t="s">
        <v>19</v>
      </c>
      <c r="E207" s="15" t="s">
        <v>139</v>
      </c>
      <c r="F207" s="15" t="s">
        <v>24</v>
      </c>
      <c r="G207" s="81">
        <f>прил4.!G257+прил4.!G293</f>
        <v>867635.3600000001</v>
      </c>
      <c r="H207" s="81">
        <f>прил4.!H257+прил4.!H293</f>
        <v>1502341.08</v>
      </c>
      <c r="I207" s="81">
        <f>прил4.!I257+прил4.!I293</f>
        <v>1502341.08</v>
      </c>
      <c r="J207" s="17"/>
      <c r="P207" s="17"/>
      <c r="Q207" s="17"/>
      <c r="R207" s="17"/>
      <c r="S207" s="17"/>
      <c r="T207" s="17"/>
    </row>
    <row r="208" spans="1:20" s="18" customFormat="1" ht="32.25" customHeight="1" x14ac:dyDescent="0.25">
      <c r="A208" s="16" t="s">
        <v>556</v>
      </c>
      <c r="B208" s="15" t="s">
        <v>67</v>
      </c>
      <c r="C208" s="15" t="s">
        <v>17</v>
      </c>
      <c r="D208" s="15" t="s">
        <v>79</v>
      </c>
      <c r="E208" s="15" t="s">
        <v>141</v>
      </c>
      <c r="F208" s="15"/>
      <c r="G208" s="70">
        <f>G209</f>
        <v>20063654.640000001</v>
      </c>
      <c r="H208" s="70">
        <f t="shared" ref="H208:I208" si="87">H209</f>
        <v>20787160.119999997</v>
      </c>
      <c r="I208" s="70">
        <f t="shared" si="87"/>
        <v>21580922.029999997</v>
      </c>
      <c r="J208" s="17"/>
      <c r="P208" s="17"/>
      <c r="Q208" s="17"/>
      <c r="R208" s="17"/>
      <c r="S208" s="17"/>
      <c r="T208" s="17"/>
    </row>
    <row r="209" spans="1:20" s="18" customFormat="1" ht="26.4" x14ac:dyDescent="0.25">
      <c r="A209" s="16" t="s">
        <v>55</v>
      </c>
      <c r="B209" s="15" t="s">
        <v>67</v>
      </c>
      <c r="C209" s="15" t="s">
        <v>17</v>
      </c>
      <c r="D209" s="15" t="s">
        <v>79</v>
      </c>
      <c r="E209" s="15" t="s">
        <v>142</v>
      </c>
      <c r="F209" s="15"/>
      <c r="G209" s="81">
        <f>G210+G212</f>
        <v>20063654.640000001</v>
      </c>
      <c r="H209" s="81">
        <f t="shared" ref="H209:I209" si="88">H210+H212</f>
        <v>20787160.119999997</v>
      </c>
      <c r="I209" s="81">
        <f t="shared" si="88"/>
        <v>21580922.029999997</v>
      </c>
      <c r="J209" s="17"/>
      <c r="P209" s="17"/>
      <c r="Q209" s="17"/>
      <c r="R209" s="17"/>
      <c r="S209" s="17"/>
      <c r="T209" s="17"/>
    </row>
    <row r="210" spans="1:20" ht="52.8" x14ac:dyDescent="0.25">
      <c r="A210" s="16" t="s">
        <v>39</v>
      </c>
      <c r="B210" s="15" t="s">
        <v>67</v>
      </c>
      <c r="C210" s="15" t="s">
        <v>17</v>
      </c>
      <c r="D210" s="15" t="s">
        <v>79</v>
      </c>
      <c r="E210" s="15" t="s">
        <v>142</v>
      </c>
      <c r="F210" s="15" t="s">
        <v>41</v>
      </c>
      <c r="G210" s="81">
        <f>G211</f>
        <v>19655167</v>
      </c>
      <c r="H210" s="81">
        <f t="shared" ref="H210:I210" si="89">H211</f>
        <v>20065047.719999999</v>
      </c>
      <c r="I210" s="81">
        <f t="shared" si="89"/>
        <v>20858809.629999999</v>
      </c>
    </row>
    <row r="211" spans="1:20" ht="26.4" x14ac:dyDescent="0.25">
      <c r="A211" s="16" t="s">
        <v>40</v>
      </c>
      <c r="B211" s="15" t="s">
        <v>67</v>
      </c>
      <c r="C211" s="15" t="s">
        <v>17</v>
      </c>
      <c r="D211" s="15" t="s">
        <v>79</v>
      </c>
      <c r="E211" s="15" t="s">
        <v>142</v>
      </c>
      <c r="F211" s="15" t="s">
        <v>42</v>
      </c>
      <c r="G211" s="70">
        <f>прил4.!G321</f>
        <v>19655167</v>
      </c>
      <c r="H211" s="70">
        <f>прил4.!H321</f>
        <v>20065047.719999999</v>
      </c>
      <c r="I211" s="70">
        <f>прил4.!I321</f>
        <v>20858809.629999999</v>
      </c>
    </row>
    <row r="212" spans="1:20" ht="26.4" x14ac:dyDescent="0.25">
      <c r="A212" s="16" t="s">
        <v>25</v>
      </c>
      <c r="B212" s="15" t="s">
        <v>67</v>
      </c>
      <c r="C212" s="15" t="s">
        <v>17</v>
      </c>
      <c r="D212" s="15" t="s">
        <v>79</v>
      </c>
      <c r="E212" s="15" t="s">
        <v>142</v>
      </c>
      <c r="F212" s="15" t="s">
        <v>26</v>
      </c>
      <c r="G212" s="70">
        <f>G213</f>
        <v>408487.64</v>
      </c>
      <c r="H212" s="70">
        <f t="shared" ref="H212:I212" si="90">H213</f>
        <v>722112.4</v>
      </c>
      <c r="I212" s="70">
        <f t="shared" si="90"/>
        <v>722112.4</v>
      </c>
    </row>
    <row r="213" spans="1:20" ht="26.4" x14ac:dyDescent="0.25">
      <c r="A213" s="16" t="s">
        <v>27</v>
      </c>
      <c r="B213" s="15" t="s">
        <v>67</v>
      </c>
      <c r="C213" s="15" t="s">
        <v>17</v>
      </c>
      <c r="D213" s="15" t="s">
        <v>79</v>
      </c>
      <c r="E213" s="15" t="s">
        <v>142</v>
      </c>
      <c r="F213" s="15" t="s">
        <v>28</v>
      </c>
      <c r="G213" s="70">
        <f>прил4.!G323</f>
        <v>408487.64</v>
      </c>
      <c r="H213" s="70">
        <f>прил4.!H323</f>
        <v>722112.4</v>
      </c>
      <c r="I213" s="70">
        <f>прил4.!I323</f>
        <v>722112.4</v>
      </c>
    </row>
    <row r="214" spans="1:20" ht="41.25" customHeight="1" x14ac:dyDescent="0.25">
      <c r="A214" s="96" t="s">
        <v>413</v>
      </c>
      <c r="B214" s="14">
        <v>793</v>
      </c>
      <c r="C214" s="15" t="s">
        <v>98</v>
      </c>
      <c r="D214" s="15" t="s">
        <v>49</v>
      </c>
      <c r="E214" s="36" t="s">
        <v>82</v>
      </c>
      <c r="F214" s="36"/>
      <c r="G214" s="71">
        <f>G215</f>
        <v>600000</v>
      </c>
      <c r="H214" s="71">
        <f t="shared" ref="H214:I214" si="91">H215</f>
        <v>600000</v>
      </c>
      <c r="I214" s="71">
        <f t="shared" si="91"/>
        <v>0</v>
      </c>
      <c r="J214" s="136"/>
      <c r="K214" s="69"/>
      <c r="L214" s="69"/>
      <c r="M214" s="69"/>
      <c r="N214" s="69"/>
      <c r="O214" s="69"/>
      <c r="P214" s="69"/>
      <c r="Q214" s="69"/>
      <c r="R214" s="69"/>
      <c r="S214" s="1"/>
      <c r="T214" s="2">
        <f>прил4.!G597</f>
        <v>600000</v>
      </c>
    </row>
    <row r="215" spans="1:20" ht="44.25" customHeight="1" x14ac:dyDescent="0.25">
      <c r="A215" s="50" t="s">
        <v>417</v>
      </c>
      <c r="B215" s="14">
        <v>793</v>
      </c>
      <c r="C215" s="15" t="s">
        <v>98</v>
      </c>
      <c r="D215" s="15" t="s">
        <v>49</v>
      </c>
      <c r="E215" s="15" t="s">
        <v>416</v>
      </c>
      <c r="F215" s="15"/>
      <c r="G215" s="70">
        <f>G216</f>
        <v>600000</v>
      </c>
      <c r="H215" s="70">
        <f t="shared" ref="H215:I216" si="92">H216</f>
        <v>600000</v>
      </c>
      <c r="I215" s="70">
        <f t="shared" si="92"/>
        <v>0</v>
      </c>
      <c r="J215" s="136"/>
      <c r="K215" s="69"/>
      <c r="L215" s="69"/>
      <c r="M215" s="69"/>
      <c r="N215" s="69"/>
      <c r="O215" s="69"/>
      <c r="P215" s="69"/>
      <c r="Q215" s="69"/>
      <c r="R215" s="69"/>
      <c r="S215" s="1"/>
      <c r="T215" s="1"/>
    </row>
    <row r="216" spans="1:20" ht="32.25" customHeight="1" x14ac:dyDescent="0.25">
      <c r="A216" s="16" t="s">
        <v>25</v>
      </c>
      <c r="B216" s="14">
        <v>793</v>
      </c>
      <c r="C216" s="15" t="s">
        <v>98</v>
      </c>
      <c r="D216" s="15" t="s">
        <v>49</v>
      </c>
      <c r="E216" s="15" t="s">
        <v>416</v>
      </c>
      <c r="F216" s="15" t="s">
        <v>26</v>
      </c>
      <c r="G216" s="70">
        <f>G217</f>
        <v>600000</v>
      </c>
      <c r="H216" s="70">
        <f t="shared" si="92"/>
        <v>600000</v>
      </c>
      <c r="I216" s="70">
        <f t="shared" si="92"/>
        <v>0</v>
      </c>
      <c r="J216" s="136"/>
      <c r="K216" s="69"/>
      <c r="L216" s="69"/>
      <c r="M216" s="69"/>
      <c r="N216" s="69"/>
      <c r="O216" s="69"/>
      <c r="P216" s="69"/>
      <c r="Q216" s="69"/>
      <c r="R216" s="69"/>
      <c r="S216" s="1"/>
      <c r="T216" s="1"/>
    </row>
    <row r="217" spans="1:20" ht="30.75" customHeight="1" x14ac:dyDescent="0.25">
      <c r="A217" s="16" t="s">
        <v>27</v>
      </c>
      <c r="B217" s="14">
        <v>793</v>
      </c>
      <c r="C217" s="15" t="s">
        <v>98</v>
      </c>
      <c r="D217" s="15" t="s">
        <v>49</v>
      </c>
      <c r="E217" s="15" t="s">
        <v>416</v>
      </c>
      <c r="F217" s="15" t="s">
        <v>28</v>
      </c>
      <c r="G217" s="70">
        <f>прил4.!G600</f>
        <v>600000</v>
      </c>
      <c r="H217" s="70">
        <f>прил4.!H600</f>
        <v>600000</v>
      </c>
      <c r="I217" s="70">
        <f>прил4.!I600</f>
        <v>0</v>
      </c>
      <c r="J217" s="136"/>
      <c r="K217" s="69"/>
      <c r="L217" s="69"/>
      <c r="M217" s="69"/>
      <c r="N217" s="69"/>
      <c r="O217" s="69"/>
      <c r="P217" s="69"/>
      <c r="Q217" s="69"/>
      <c r="R217" s="69"/>
      <c r="S217" s="1"/>
      <c r="T217" s="1"/>
    </row>
    <row r="218" spans="1:20" s="32" customFormat="1" ht="29.25" customHeight="1" x14ac:dyDescent="0.25">
      <c r="A218" s="217" t="s">
        <v>363</v>
      </c>
      <c r="B218" s="35">
        <v>757</v>
      </c>
      <c r="C218" s="36" t="s">
        <v>30</v>
      </c>
      <c r="D218" s="36" t="s">
        <v>38</v>
      </c>
      <c r="E218" s="36" t="s">
        <v>119</v>
      </c>
      <c r="F218" s="36"/>
      <c r="G218" s="71">
        <f>G219</f>
        <v>80500</v>
      </c>
      <c r="H218" s="71">
        <f t="shared" ref="H218:I218" si="93">H219</f>
        <v>80500</v>
      </c>
      <c r="I218" s="71">
        <f t="shared" si="93"/>
        <v>80500</v>
      </c>
      <c r="J218" s="31"/>
      <c r="P218" s="31"/>
      <c r="Q218" s="31"/>
      <c r="R218" s="31"/>
      <c r="S218" s="31"/>
      <c r="T218" s="31">
        <f>прил4.!G11</f>
        <v>80500</v>
      </c>
    </row>
    <row r="219" spans="1:20" ht="32.25" customHeight="1" x14ac:dyDescent="0.25">
      <c r="A219" s="16" t="s">
        <v>21</v>
      </c>
      <c r="B219" s="14">
        <v>757</v>
      </c>
      <c r="C219" s="15" t="s">
        <v>30</v>
      </c>
      <c r="D219" s="15" t="s">
        <v>10</v>
      </c>
      <c r="E219" s="15" t="s">
        <v>120</v>
      </c>
      <c r="F219" s="15" t="s">
        <v>22</v>
      </c>
      <c r="G219" s="81">
        <f t="shared" ref="G219:I219" si="94">G220</f>
        <v>80500</v>
      </c>
      <c r="H219" s="81">
        <f t="shared" si="94"/>
        <v>80500</v>
      </c>
      <c r="I219" s="81">
        <f t="shared" si="94"/>
        <v>80500</v>
      </c>
    </row>
    <row r="220" spans="1:20" x14ac:dyDescent="0.25">
      <c r="A220" s="16" t="s">
        <v>23</v>
      </c>
      <c r="B220" s="14">
        <v>757</v>
      </c>
      <c r="C220" s="15" t="s">
        <v>30</v>
      </c>
      <c r="D220" s="15" t="s">
        <v>10</v>
      </c>
      <c r="E220" s="15" t="s">
        <v>120</v>
      </c>
      <c r="F220" s="15" t="s">
        <v>24</v>
      </c>
      <c r="G220" s="81">
        <f>прил4.!G14</f>
        <v>80500</v>
      </c>
      <c r="H220" s="81">
        <f>прил4.!H14</f>
        <v>80500</v>
      </c>
      <c r="I220" s="81">
        <f>прил4.!I14</f>
        <v>80500</v>
      </c>
      <c r="J220" s="2">
        <v>50000</v>
      </c>
    </row>
    <row r="221" spans="1:20" s="22" customFormat="1" ht="54" customHeight="1" x14ac:dyDescent="0.25">
      <c r="A221" s="96" t="s">
        <v>364</v>
      </c>
      <c r="B221" s="35">
        <v>795</v>
      </c>
      <c r="C221" s="36" t="s">
        <v>92</v>
      </c>
      <c r="D221" s="36" t="s">
        <v>98</v>
      </c>
      <c r="E221" s="36" t="s">
        <v>167</v>
      </c>
      <c r="F221" s="36"/>
      <c r="G221" s="71">
        <f>G222+G226+G229+G232+G235</f>
        <v>8494195.120000001</v>
      </c>
      <c r="H221" s="71">
        <f t="shared" ref="H221:I221" si="95">H222+H226+H229+H232+H235</f>
        <v>8400000</v>
      </c>
      <c r="I221" s="71">
        <f t="shared" si="95"/>
        <v>8400000</v>
      </c>
      <c r="J221" s="21">
        <v>300000</v>
      </c>
      <c r="P221" s="21" t="e">
        <f>#REF!+G225+G228+G237+#REF!</f>
        <v>#REF!</v>
      </c>
      <c r="Q221" s="21"/>
      <c r="R221" s="21"/>
      <c r="S221" s="21"/>
      <c r="T221" s="21">
        <f>прил4.!G621</f>
        <v>8494195.120000001</v>
      </c>
    </row>
    <row r="222" spans="1:20" s="3" customFormat="1" ht="38.25" customHeight="1" x14ac:dyDescent="0.25">
      <c r="A222" s="16" t="s">
        <v>258</v>
      </c>
      <c r="B222" s="14">
        <v>795</v>
      </c>
      <c r="C222" s="15" t="s">
        <v>92</v>
      </c>
      <c r="D222" s="15" t="s">
        <v>98</v>
      </c>
      <c r="E222" s="15" t="s">
        <v>233</v>
      </c>
      <c r="F222" s="15"/>
      <c r="G222" s="70">
        <f>G224</f>
        <v>4538811.55</v>
      </c>
      <c r="H222" s="81">
        <f>H224</f>
        <v>4500000</v>
      </c>
      <c r="I222" s="81">
        <f>I224</f>
        <v>4500000</v>
      </c>
      <c r="J222" s="99"/>
      <c r="P222" s="99"/>
      <c r="Q222" s="99"/>
      <c r="R222" s="99"/>
      <c r="S222" s="99"/>
      <c r="T222" s="99"/>
    </row>
    <row r="223" spans="1:20" s="3" customFormat="1" ht="38.25" hidden="1" customHeight="1" x14ac:dyDescent="0.25">
      <c r="A223" s="16"/>
      <c r="B223" s="14"/>
      <c r="C223" s="15"/>
      <c r="D223" s="15"/>
      <c r="E223" s="15"/>
      <c r="F223" s="15"/>
      <c r="G223" s="70"/>
      <c r="H223" s="81"/>
      <c r="I223" s="81"/>
      <c r="J223" s="99"/>
      <c r="P223" s="99"/>
      <c r="Q223" s="99"/>
      <c r="R223" s="99"/>
      <c r="S223" s="99"/>
      <c r="T223" s="99"/>
    </row>
    <row r="224" spans="1:20" s="3" customFormat="1" ht="38.25" customHeight="1" x14ac:dyDescent="0.25">
      <c r="A224" s="16" t="s">
        <v>25</v>
      </c>
      <c r="B224" s="14">
        <v>795</v>
      </c>
      <c r="C224" s="15" t="s">
        <v>92</v>
      </c>
      <c r="D224" s="15" t="s">
        <v>98</v>
      </c>
      <c r="E224" s="15" t="s">
        <v>233</v>
      </c>
      <c r="F224" s="15" t="s">
        <v>26</v>
      </c>
      <c r="G224" s="70">
        <f>G225</f>
        <v>4538811.55</v>
      </c>
      <c r="H224" s="81">
        <f>H225</f>
        <v>4500000</v>
      </c>
      <c r="I224" s="81">
        <f>I225</f>
        <v>4500000</v>
      </c>
      <c r="J224" s="99"/>
      <c r="P224" s="99"/>
      <c r="Q224" s="99"/>
      <c r="R224" s="99"/>
      <c r="S224" s="99"/>
      <c r="T224" s="99"/>
    </row>
    <row r="225" spans="1:20" s="3" customFormat="1" ht="38.25" customHeight="1" x14ac:dyDescent="0.25">
      <c r="A225" s="16" t="s">
        <v>27</v>
      </c>
      <c r="B225" s="14">
        <v>795</v>
      </c>
      <c r="C225" s="15" t="s">
        <v>92</v>
      </c>
      <c r="D225" s="15" t="s">
        <v>98</v>
      </c>
      <c r="E225" s="15" t="s">
        <v>233</v>
      </c>
      <c r="F225" s="15" t="s">
        <v>28</v>
      </c>
      <c r="G225" s="70">
        <f>прил4.!G624</f>
        <v>4538811.55</v>
      </c>
      <c r="H225" s="70">
        <f>прил4.!H624</f>
        <v>4500000</v>
      </c>
      <c r="I225" s="70">
        <f>прил4.!I624</f>
        <v>4500000</v>
      </c>
      <c r="J225" s="99"/>
      <c r="P225" s="99"/>
      <c r="Q225" s="99"/>
      <c r="R225" s="99"/>
      <c r="S225" s="99"/>
      <c r="T225" s="99"/>
    </row>
    <row r="226" spans="1:20" s="3" customFormat="1" ht="38.25" customHeight="1" x14ac:dyDescent="0.25">
      <c r="A226" s="50" t="s">
        <v>270</v>
      </c>
      <c r="B226" s="14">
        <v>795</v>
      </c>
      <c r="C226" s="15" t="s">
        <v>92</v>
      </c>
      <c r="D226" s="15" t="s">
        <v>98</v>
      </c>
      <c r="E226" s="15" t="s">
        <v>404</v>
      </c>
      <c r="F226" s="15"/>
      <c r="G226" s="70">
        <f t="shared" ref="G226:I230" si="96">G227</f>
        <v>400933.57</v>
      </c>
      <c r="H226" s="81">
        <f t="shared" si="96"/>
        <v>400000</v>
      </c>
      <c r="I226" s="81">
        <f t="shared" si="96"/>
        <v>400000</v>
      </c>
      <c r="J226" s="99"/>
      <c r="P226" s="99"/>
      <c r="Q226" s="99"/>
      <c r="R226" s="99"/>
      <c r="S226" s="99"/>
      <c r="T226" s="99"/>
    </row>
    <row r="227" spans="1:20" s="3" customFormat="1" ht="38.25" customHeight="1" x14ac:dyDescent="0.25">
      <c r="A227" s="16" t="s">
        <v>25</v>
      </c>
      <c r="B227" s="14">
        <v>795</v>
      </c>
      <c r="C227" s="15" t="s">
        <v>92</v>
      </c>
      <c r="D227" s="15" t="s">
        <v>98</v>
      </c>
      <c r="E227" s="15" t="s">
        <v>404</v>
      </c>
      <c r="F227" s="15" t="s">
        <v>26</v>
      </c>
      <c r="G227" s="70">
        <f t="shared" si="96"/>
        <v>400933.57</v>
      </c>
      <c r="H227" s="81">
        <f t="shared" si="96"/>
        <v>400000</v>
      </c>
      <c r="I227" s="81">
        <f t="shared" si="96"/>
        <v>400000</v>
      </c>
      <c r="J227" s="99"/>
      <c r="P227" s="99"/>
      <c r="Q227" s="99"/>
      <c r="R227" s="99"/>
      <c r="S227" s="99"/>
      <c r="T227" s="99"/>
    </row>
    <row r="228" spans="1:20" s="3" customFormat="1" ht="38.25" customHeight="1" x14ac:dyDescent="0.25">
      <c r="A228" s="16" t="s">
        <v>27</v>
      </c>
      <c r="B228" s="14">
        <v>795</v>
      </c>
      <c r="C228" s="15" t="s">
        <v>92</v>
      </c>
      <c r="D228" s="15" t="s">
        <v>98</v>
      </c>
      <c r="E228" s="15" t="s">
        <v>404</v>
      </c>
      <c r="F228" s="15" t="s">
        <v>28</v>
      </c>
      <c r="G228" s="70">
        <f>прил4.!G630</f>
        <v>400933.57</v>
      </c>
      <c r="H228" s="70">
        <f>прил4.!H630</f>
        <v>400000</v>
      </c>
      <c r="I228" s="70">
        <f>прил4.!I630</f>
        <v>400000</v>
      </c>
      <c r="J228" s="99"/>
      <c r="P228" s="99"/>
      <c r="Q228" s="99"/>
      <c r="R228" s="99"/>
      <c r="S228" s="99"/>
      <c r="T228" s="99"/>
    </row>
    <row r="229" spans="1:20" s="3" customFormat="1" ht="38.25" customHeight="1" x14ac:dyDescent="0.25">
      <c r="A229" s="50" t="s">
        <v>423</v>
      </c>
      <c r="B229" s="14">
        <v>795</v>
      </c>
      <c r="C229" s="15" t="s">
        <v>92</v>
      </c>
      <c r="D229" s="15" t="s">
        <v>98</v>
      </c>
      <c r="E229" s="15" t="s">
        <v>422</v>
      </c>
      <c r="F229" s="15"/>
      <c r="G229" s="70">
        <f t="shared" si="96"/>
        <v>154450</v>
      </c>
      <c r="H229" s="81">
        <f t="shared" si="96"/>
        <v>100000</v>
      </c>
      <c r="I229" s="81">
        <f t="shared" si="96"/>
        <v>100000</v>
      </c>
      <c r="J229" s="99"/>
      <c r="P229" s="99"/>
      <c r="Q229" s="99"/>
      <c r="R229" s="99"/>
      <c r="S229" s="99"/>
      <c r="T229" s="99"/>
    </row>
    <row r="230" spans="1:20" s="3" customFormat="1" ht="38.25" customHeight="1" x14ac:dyDescent="0.25">
      <c r="A230" s="16" t="s">
        <v>25</v>
      </c>
      <c r="B230" s="14">
        <v>795</v>
      </c>
      <c r="C230" s="15" t="s">
        <v>92</v>
      </c>
      <c r="D230" s="15" t="s">
        <v>98</v>
      </c>
      <c r="E230" s="15" t="s">
        <v>422</v>
      </c>
      <c r="F230" s="15" t="s">
        <v>26</v>
      </c>
      <c r="G230" s="70">
        <f t="shared" si="96"/>
        <v>154450</v>
      </c>
      <c r="H230" s="81">
        <f t="shared" si="96"/>
        <v>100000</v>
      </c>
      <c r="I230" s="81">
        <f t="shared" si="96"/>
        <v>100000</v>
      </c>
      <c r="J230" s="99"/>
      <c r="P230" s="99"/>
      <c r="Q230" s="99"/>
      <c r="R230" s="99"/>
      <c r="S230" s="99"/>
      <c r="T230" s="99"/>
    </row>
    <row r="231" spans="1:20" s="3" customFormat="1" ht="38.25" customHeight="1" x14ac:dyDescent="0.25">
      <c r="A231" s="16" t="s">
        <v>27</v>
      </c>
      <c r="B231" s="14">
        <v>795</v>
      </c>
      <c r="C231" s="15" t="s">
        <v>92</v>
      </c>
      <c r="D231" s="15" t="s">
        <v>98</v>
      </c>
      <c r="E231" s="15" t="s">
        <v>422</v>
      </c>
      <c r="F231" s="15" t="s">
        <v>28</v>
      </c>
      <c r="G231" s="70">
        <f>прил4.!G633</f>
        <v>154450</v>
      </c>
      <c r="H231" s="70">
        <f>прил4.!H633</f>
        <v>100000</v>
      </c>
      <c r="I231" s="70">
        <f>прил4.!I633</f>
        <v>100000</v>
      </c>
      <c r="J231" s="99"/>
      <c r="P231" s="99"/>
      <c r="Q231" s="99"/>
      <c r="R231" s="99"/>
      <c r="S231" s="99"/>
      <c r="T231" s="99"/>
    </row>
    <row r="232" spans="1:20" s="3" customFormat="1" ht="18.75" customHeight="1" x14ac:dyDescent="0.25">
      <c r="A232" s="16" t="s">
        <v>462</v>
      </c>
      <c r="B232" s="14">
        <v>793</v>
      </c>
      <c r="C232" s="15" t="s">
        <v>92</v>
      </c>
      <c r="D232" s="15" t="s">
        <v>98</v>
      </c>
      <c r="E232" s="15" t="s">
        <v>461</v>
      </c>
      <c r="F232" s="15"/>
      <c r="G232" s="70">
        <f t="shared" ref="G232:I233" si="97">G233</f>
        <v>200000</v>
      </c>
      <c r="H232" s="70">
        <f t="shared" si="97"/>
        <v>200000</v>
      </c>
      <c r="I232" s="70">
        <f t="shared" si="97"/>
        <v>200000</v>
      </c>
      <c r="J232" s="136"/>
      <c r="K232" s="62"/>
      <c r="L232" s="62"/>
      <c r="M232" s="62"/>
      <c r="N232" s="62"/>
      <c r="O232" s="62"/>
      <c r="P232" s="62"/>
      <c r="Q232" s="62"/>
      <c r="R232" s="62"/>
    </row>
    <row r="233" spans="1:20" s="3" customFormat="1" ht="38.25" customHeight="1" x14ac:dyDescent="0.25">
      <c r="A233" s="16" t="s">
        <v>25</v>
      </c>
      <c r="B233" s="14">
        <v>793</v>
      </c>
      <c r="C233" s="15" t="s">
        <v>92</v>
      </c>
      <c r="D233" s="15" t="s">
        <v>98</v>
      </c>
      <c r="E233" s="15" t="s">
        <v>461</v>
      </c>
      <c r="F233" s="15" t="s">
        <v>26</v>
      </c>
      <c r="G233" s="70">
        <f t="shared" si="97"/>
        <v>200000</v>
      </c>
      <c r="H233" s="70">
        <f t="shared" si="97"/>
        <v>200000</v>
      </c>
      <c r="I233" s="70">
        <f t="shared" si="97"/>
        <v>200000</v>
      </c>
      <c r="J233" s="136"/>
      <c r="K233" s="62"/>
      <c r="L233" s="62"/>
      <c r="M233" s="62"/>
      <c r="N233" s="62"/>
      <c r="O233" s="62"/>
      <c r="P233" s="62"/>
      <c r="Q233" s="62"/>
      <c r="R233" s="62"/>
    </row>
    <row r="234" spans="1:20" s="3" customFormat="1" ht="38.25" customHeight="1" x14ac:dyDescent="0.25">
      <c r="A234" s="16" t="s">
        <v>27</v>
      </c>
      <c r="B234" s="14">
        <v>793</v>
      </c>
      <c r="C234" s="15" t="s">
        <v>92</v>
      </c>
      <c r="D234" s="15" t="s">
        <v>98</v>
      </c>
      <c r="E234" s="15" t="s">
        <v>461</v>
      </c>
      <c r="F234" s="15" t="s">
        <v>28</v>
      </c>
      <c r="G234" s="70">
        <f>прил4.!G627</f>
        <v>200000</v>
      </c>
      <c r="H234" s="70">
        <f>прил4.!H627</f>
        <v>200000</v>
      </c>
      <c r="I234" s="70">
        <f>прил4.!I627</f>
        <v>200000</v>
      </c>
      <c r="J234" s="136"/>
      <c r="K234" s="62"/>
      <c r="L234" s="62"/>
      <c r="M234" s="62"/>
      <c r="N234" s="62"/>
      <c r="O234" s="62"/>
      <c r="P234" s="62"/>
      <c r="Q234" s="62"/>
      <c r="R234" s="62"/>
    </row>
    <row r="235" spans="1:20" s="3" customFormat="1" ht="38.25" customHeight="1" x14ac:dyDescent="0.25">
      <c r="A235" s="16" t="s">
        <v>343</v>
      </c>
      <c r="B235" s="14">
        <v>793</v>
      </c>
      <c r="C235" s="15" t="s">
        <v>92</v>
      </c>
      <c r="D235" s="15" t="s">
        <v>98</v>
      </c>
      <c r="E235" s="15" t="s">
        <v>342</v>
      </c>
      <c r="F235" s="15"/>
      <c r="G235" s="70">
        <f t="shared" ref="G235:I236" si="98">G236</f>
        <v>3200000</v>
      </c>
      <c r="H235" s="70">
        <f t="shared" si="98"/>
        <v>3200000</v>
      </c>
      <c r="I235" s="70">
        <f t="shared" si="98"/>
        <v>3200000</v>
      </c>
      <c r="J235" s="137"/>
      <c r="K235" s="153"/>
      <c r="L235" s="153"/>
      <c r="M235" s="153"/>
      <c r="N235" s="153"/>
      <c r="O235" s="153"/>
      <c r="P235" s="153"/>
      <c r="Q235" s="153"/>
      <c r="R235" s="153"/>
    </row>
    <row r="236" spans="1:20" s="3" customFormat="1" ht="38.25" customHeight="1" x14ac:dyDescent="0.25">
      <c r="A236" s="16" t="s">
        <v>25</v>
      </c>
      <c r="B236" s="14">
        <v>793</v>
      </c>
      <c r="C236" s="15" t="s">
        <v>92</v>
      </c>
      <c r="D236" s="15" t="s">
        <v>98</v>
      </c>
      <c r="E236" s="15" t="s">
        <v>342</v>
      </c>
      <c r="F236" s="15" t="s">
        <v>26</v>
      </c>
      <c r="G236" s="70">
        <f t="shared" si="98"/>
        <v>3200000</v>
      </c>
      <c r="H236" s="70">
        <f t="shared" si="98"/>
        <v>3200000</v>
      </c>
      <c r="I236" s="70">
        <f t="shared" si="98"/>
        <v>3200000</v>
      </c>
      <c r="J236" s="137"/>
      <c r="K236" s="153"/>
      <c r="L236" s="153"/>
      <c r="M236" s="153"/>
      <c r="N236" s="153"/>
      <c r="O236" s="153"/>
      <c r="P236" s="153"/>
      <c r="Q236" s="153"/>
      <c r="R236" s="153"/>
    </row>
    <row r="237" spans="1:20" s="3" customFormat="1" ht="39.75" customHeight="1" x14ac:dyDescent="0.25">
      <c r="A237" s="16" t="s">
        <v>27</v>
      </c>
      <c r="B237" s="14">
        <v>793</v>
      </c>
      <c r="C237" s="15" t="s">
        <v>92</v>
      </c>
      <c r="D237" s="15" t="s">
        <v>98</v>
      </c>
      <c r="E237" s="15" t="s">
        <v>342</v>
      </c>
      <c r="F237" s="15" t="s">
        <v>28</v>
      </c>
      <c r="G237" s="70">
        <f>прил4.!G636</f>
        <v>3200000</v>
      </c>
      <c r="H237" s="70">
        <f>прил4.!H636</f>
        <v>3200000</v>
      </c>
      <c r="I237" s="70">
        <f>прил4.!I636</f>
        <v>3200000</v>
      </c>
      <c r="J237" s="137"/>
      <c r="K237" s="153"/>
      <c r="L237" s="153"/>
      <c r="M237" s="153"/>
      <c r="N237" s="153"/>
      <c r="O237" s="153"/>
      <c r="P237" s="153"/>
      <c r="Q237" s="153"/>
      <c r="R237" s="153"/>
    </row>
    <row r="238" spans="1:20" s="22" customFormat="1" ht="35.25" customHeight="1" x14ac:dyDescent="0.25">
      <c r="A238" s="96" t="s">
        <v>365</v>
      </c>
      <c r="B238" s="35">
        <v>757</v>
      </c>
      <c r="C238" s="36" t="s">
        <v>17</v>
      </c>
      <c r="D238" s="36" t="s">
        <v>19</v>
      </c>
      <c r="E238" s="36" t="s">
        <v>111</v>
      </c>
      <c r="F238" s="36"/>
      <c r="G238" s="71">
        <f>G239+G242+G245+G258+G261+G267+G271+G275+G278+G281+G284+G287+G290+G293+G297+G300+G303+G318+G321+G324+G249+G252+G255+G264</f>
        <v>232939307.72</v>
      </c>
      <c r="H238" s="71">
        <f t="shared" ref="H238:I238" si="99">H239+H242+H245+H258+H261+H267+H271+H275+H278+H281+H284+H287+H290+H293+H297+H300+H303+H318+H321+H324+H249+H252+H255+H264</f>
        <v>241393483.53999999</v>
      </c>
      <c r="I238" s="71">
        <f t="shared" si="99"/>
        <v>250465937.34999999</v>
      </c>
      <c r="J238" s="21">
        <v>24472950</v>
      </c>
      <c r="P238" s="21"/>
      <c r="Q238" s="176"/>
      <c r="R238" s="21"/>
      <c r="S238" s="21"/>
      <c r="T238" s="21">
        <f>прил4.!G17++прил4.!G51+прил4.!G107+прил4.!G464</f>
        <v>232939307.72</v>
      </c>
    </row>
    <row r="239" spans="1:20" ht="45" customHeight="1" x14ac:dyDescent="0.25">
      <c r="A239" s="253" t="s">
        <v>450</v>
      </c>
      <c r="B239" s="14">
        <v>757</v>
      </c>
      <c r="C239" s="15" t="s">
        <v>30</v>
      </c>
      <c r="D239" s="15" t="s">
        <v>10</v>
      </c>
      <c r="E239" s="15" t="s">
        <v>241</v>
      </c>
      <c r="F239" s="15"/>
      <c r="G239" s="81">
        <f t="shared" ref="G239:I240" si="100">G240</f>
        <v>37042</v>
      </c>
      <c r="H239" s="70">
        <f>H240</f>
        <v>38523.68</v>
      </c>
      <c r="I239" s="70">
        <f t="shared" si="100"/>
        <v>40063.879999999997</v>
      </c>
      <c r="J239" s="2">
        <v>25800</v>
      </c>
      <c r="K239" s="2" t="e">
        <f>G239+#REF!+G245+G258+G293+G297+G300+#REF!+#REF!+G303+G310+G312+G315+G318+#REF!+#REF!</f>
        <v>#REF!</v>
      </c>
      <c r="Q239" s="134"/>
      <c r="T239" s="2">
        <f>T238-G238</f>
        <v>0</v>
      </c>
    </row>
    <row r="240" spans="1:20" ht="26.4" x14ac:dyDescent="0.25">
      <c r="A240" s="16" t="s">
        <v>21</v>
      </c>
      <c r="B240" s="14">
        <v>757</v>
      </c>
      <c r="C240" s="15" t="s">
        <v>30</v>
      </c>
      <c r="D240" s="15" t="s">
        <v>10</v>
      </c>
      <c r="E240" s="15" t="s">
        <v>241</v>
      </c>
      <c r="F240" s="15" t="s">
        <v>22</v>
      </c>
      <c r="G240" s="81">
        <f t="shared" si="100"/>
        <v>37042</v>
      </c>
      <c r="H240" s="70">
        <f t="shared" si="100"/>
        <v>38523.68</v>
      </c>
      <c r="I240" s="70">
        <f t="shared" si="100"/>
        <v>40063.879999999997</v>
      </c>
      <c r="J240" s="2">
        <v>60633148</v>
      </c>
    </row>
    <row r="241" spans="1:20" x14ac:dyDescent="0.25">
      <c r="A241" s="16" t="s">
        <v>23</v>
      </c>
      <c r="B241" s="14">
        <v>757</v>
      </c>
      <c r="C241" s="15" t="s">
        <v>30</v>
      </c>
      <c r="D241" s="15" t="s">
        <v>10</v>
      </c>
      <c r="E241" s="15" t="s">
        <v>241</v>
      </c>
      <c r="F241" s="15" t="s">
        <v>24</v>
      </c>
      <c r="G241" s="81">
        <f>прил4.!G70</f>
        <v>37042</v>
      </c>
      <c r="H241" s="70">
        <f>прил4.!H70</f>
        <v>38523.68</v>
      </c>
      <c r="I241" s="70">
        <f>прил4.!I70</f>
        <v>40063.879999999997</v>
      </c>
      <c r="J241" s="2">
        <v>7498067</v>
      </c>
    </row>
    <row r="242" spans="1:20" ht="85.5" customHeight="1" x14ac:dyDescent="0.25">
      <c r="A242" s="286" t="s">
        <v>426</v>
      </c>
      <c r="B242" s="79" t="s">
        <v>36</v>
      </c>
      <c r="C242" s="79" t="s">
        <v>30</v>
      </c>
      <c r="D242" s="79" t="s">
        <v>10</v>
      </c>
      <c r="E242" s="79" t="s">
        <v>325</v>
      </c>
      <c r="F242" s="79"/>
      <c r="G242" s="81">
        <f>G243</f>
        <v>325110.71999999997</v>
      </c>
      <c r="H242" s="81">
        <f t="shared" ref="H242:I242" si="101">H243</f>
        <v>329764.8</v>
      </c>
      <c r="I242" s="81">
        <f t="shared" si="101"/>
        <v>0</v>
      </c>
      <c r="J242" s="137"/>
      <c r="K242" s="142"/>
      <c r="L242" s="142"/>
      <c r="M242" s="142"/>
      <c r="N242" s="142"/>
      <c r="O242" s="142"/>
      <c r="P242" s="142"/>
      <c r="Q242" s="142"/>
      <c r="R242" s="142"/>
      <c r="S242" s="1"/>
      <c r="T242" s="1"/>
    </row>
    <row r="243" spans="1:20" ht="39.75" customHeight="1" x14ac:dyDescent="0.25">
      <c r="A243" s="78" t="s">
        <v>21</v>
      </c>
      <c r="B243" s="79" t="s">
        <v>36</v>
      </c>
      <c r="C243" s="79" t="s">
        <v>30</v>
      </c>
      <c r="D243" s="79" t="s">
        <v>10</v>
      </c>
      <c r="E243" s="79" t="s">
        <v>325</v>
      </c>
      <c r="F243" s="79" t="s">
        <v>22</v>
      </c>
      <c r="G243" s="81">
        <f>G244</f>
        <v>325110.71999999997</v>
      </c>
      <c r="H243" s="81">
        <f t="shared" ref="H243:I243" si="102">H244</f>
        <v>329764.8</v>
      </c>
      <c r="I243" s="81">
        <f t="shared" si="102"/>
        <v>0</v>
      </c>
      <c r="J243" s="137"/>
      <c r="K243" s="142"/>
      <c r="L243" s="142"/>
      <c r="M243" s="142"/>
      <c r="N243" s="142"/>
      <c r="O243" s="142"/>
      <c r="P243" s="142"/>
      <c r="Q243" s="142"/>
      <c r="R243" s="142"/>
      <c r="S243" s="1"/>
      <c r="T243" s="1"/>
    </row>
    <row r="244" spans="1:20" ht="19.5" customHeight="1" x14ac:dyDescent="0.25">
      <c r="A244" s="109" t="s">
        <v>23</v>
      </c>
      <c r="B244" s="79" t="s">
        <v>36</v>
      </c>
      <c r="C244" s="79" t="s">
        <v>30</v>
      </c>
      <c r="D244" s="79" t="s">
        <v>10</v>
      </c>
      <c r="E244" s="79" t="s">
        <v>325</v>
      </c>
      <c r="F244" s="79" t="s">
        <v>24</v>
      </c>
      <c r="G244" s="81">
        <f>прил4.!G54</f>
        <v>325110.71999999997</v>
      </c>
      <c r="H244" s="81">
        <f>прил4.!H54</f>
        <v>329764.8</v>
      </c>
      <c r="I244" s="81">
        <f>прил4.!I54</f>
        <v>0</v>
      </c>
      <c r="J244" s="137"/>
      <c r="K244" s="142"/>
      <c r="L244" s="142"/>
      <c r="M244" s="142"/>
      <c r="N244" s="142"/>
      <c r="O244" s="142"/>
      <c r="P244" s="142"/>
      <c r="Q244" s="142"/>
      <c r="R244" s="142"/>
      <c r="S244" s="1"/>
      <c r="T244" s="1"/>
    </row>
    <row r="245" spans="1:20" s="46" customFormat="1" ht="96.75" customHeight="1" x14ac:dyDescent="0.25">
      <c r="A245" s="117" t="s">
        <v>345</v>
      </c>
      <c r="B245" s="120"/>
      <c r="C245" s="79"/>
      <c r="D245" s="79"/>
      <c r="E245" s="79" t="s">
        <v>282</v>
      </c>
      <c r="F245" s="79"/>
      <c r="G245" s="81">
        <f t="shared" ref="G245:I245" si="103">G246</f>
        <v>909453</v>
      </c>
      <c r="H245" s="81">
        <f t="shared" si="103"/>
        <v>909453</v>
      </c>
      <c r="I245" s="81">
        <f t="shared" si="103"/>
        <v>909453</v>
      </c>
      <c r="J245" s="98">
        <v>37014758</v>
      </c>
      <c r="P245" s="98"/>
      <c r="Q245" s="98"/>
      <c r="R245" s="98"/>
      <c r="S245" s="98"/>
      <c r="T245" s="98"/>
    </row>
    <row r="246" spans="1:20" s="46" customFormat="1" ht="35.25" customHeight="1" x14ac:dyDescent="0.25">
      <c r="A246" s="78" t="s">
        <v>21</v>
      </c>
      <c r="B246" s="120"/>
      <c r="C246" s="79"/>
      <c r="D246" s="79"/>
      <c r="E246" s="79" t="s">
        <v>282</v>
      </c>
      <c r="F246" s="79" t="s">
        <v>22</v>
      </c>
      <c r="G246" s="81">
        <f>G247+G248</f>
        <v>909453</v>
      </c>
      <c r="H246" s="81">
        <f t="shared" ref="H246:I246" si="104">H247+H248</f>
        <v>909453</v>
      </c>
      <c r="I246" s="81">
        <f t="shared" si="104"/>
        <v>909453</v>
      </c>
      <c r="J246" s="98">
        <v>1052448</v>
      </c>
      <c r="P246" s="98"/>
      <c r="Q246" s="98"/>
      <c r="R246" s="98"/>
      <c r="S246" s="98"/>
      <c r="T246" s="98"/>
    </row>
    <row r="247" spans="1:20" s="46" customFormat="1" ht="21" customHeight="1" x14ac:dyDescent="0.25">
      <c r="A247" s="78" t="s">
        <v>23</v>
      </c>
      <c r="B247" s="120"/>
      <c r="C247" s="79"/>
      <c r="D247" s="79"/>
      <c r="E247" s="79" t="s">
        <v>282</v>
      </c>
      <c r="F247" s="79" t="s">
        <v>24</v>
      </c>
      <c r="G247" s="81">
        <f>прил4.!G57</f>
        <v>909453</v>
      </c>
      <c r="H247" s="81">
        <f>прил4.!H57</f>
        <v>909453</v>
      </c>
      <c r="I247" s="81">
        <f>прил4.!I57</f>
        <v>909453</v>
      </c>
      <c r="J247" s="98">
        <v>7890673</v>
      </c>
      <c r="P247" s="98"/>
      <c r="Q247" s="98"/>
      <c r="R247" s="98"/>
      <c r="S247" s="98"/>
      <c r="T247" s="98"/>
    </row>
    <row r="248" spans="1:20" hidden="1" x14ac:dyDescent="0.25">
      <c r="A248" s="78" t="s">
        <v>276</v>
      </c>
      <c r="B248" s="120">
        <v>757</v>
      </c>
      <c r="C248" s="79" t="s">
        <v>30</v>
      </c>
      <c r="D248" s="79" t="s">
        <v>10</v>
      </c>
      <c r="E248" s="79" t="s">
        <v>282</v>
      </c>
      <c r="F248" s="79" t="s">
        <v>275</v>
      </c>
      <c r="G248" s="81"/>
      <c r="H248" s="81"/>
      <c r="I248" s="81"/>
      <c r="J248" s="139"/>
      <c r="K248" s="142"/>
      <c r="L248" s="142"/>
      <c r="M248" s="142"/>
      <c r="N248" s="142"/>
      <c r="O248" s="142"/>
      <c r="P248" s="142"/>
      <c r="Q248" s="142"/>
      <c r="R248" s="142"/>
      <c r="S248" s="1"/>
      <c r="T248" s="1"/>
    </row>
    <row r="249" spans="1:20" ht="24.6" customHeight="1" x14ac:dyDescent="0.25">
      <c r="A249" s="78" t="s">
        <v>539</v>
      </c>
      <c r="B249" s="120">
        <v>757</v>
      </c>
      <c r="C249" s="79" t="s">
        <v>30</v>
      </c>
      <c r="D249" s="79" t="s">
        <v>10</v>
      </c>
      <c r="E249" s="79" t="s">
        <v>540</v>
      </c>
      <c r="F249" s="79"/>
      <c r="G249" s="80">
        <f>G250</f>
        <v>0</v>
      </c>
      <c r="H249" s="80">
        <f t="shared" ref="H249:I250" si="105">H250</f>
        <v>56958.59</v>
      </c>
      <c r="I249" s="80">
        <f t="shared" si="105"/>
        <v>59236.93</v>
      </c>
      <c r="J249" s="138"/>
      <c r="K249" s="142"/>
      <c r="L249" s="142"/>
      <c r="M249" s="142"/>
      <c r="N249" s="142"/>
      <c r="O249" s="142"/>
      <c r="P249" s="142"/>
      <c r="Q249" s="142"/>
      <c r="R249" s="142"/>
      <c r="S249" s="1"/>
      <c r="T249" s="1"/>
    </row>
    <row r="250" spans="1:20" ht="26.4" x14ac:dyDescent="0.25">
      <c r="A250" s="78" t="s">
        <v>21</v>
      </c>
      <c r="B250" s="120">
        <v>757</v>
      </c>
      <c r="C250" s="79" t="s">
        <v>30</v>
      </c>
      <c r="D250" s="79" t="s">
        <v>10</v>
      </c>
      <c r="E250" s="79" t="s">
        <v>540</v>
      </c>
      <c r="F250" s="79" t="s">
        <v>22</v>
      </c>
      <c r="G250" s="80">
        <f>G251</f>
        <v>0</v>
      </c>
      <c r="H250" s="80">
        <f t="shared" si="105"/>
        <v>56958.59</v>
      </c>
      <c r="I250" s="80">
        <f t="shared" si="105"/>
        <v>59236.93</v>
      </c>
      <c r="J250" s="138"/>
      <c r="K250" s="142"/>
      <c r="L250" s="142"/>
      <c r="M250" s="142"/>
      <c r="N250" s="142"/>
      <c r="O250" s="142"/>
      <c r="P250" s="142"/>
      <c r="Q250" s="142"/>
      <c r="R250" s="142"/>
      <c r="S250" s="1"/>
      <c r="T250" s="1"/>
    </row>
    <row r="251" spans="1:20" x14ac:dyDescent="0.25">
      <c r="A251" s="78" t="s">
        <v>23</v>
      </c>
      <c r="B251" s="120">
        <v>757</v>
      </c>
      <c r="C251" s="79" t="s">
        <v>30</v>
      </c>
      <c r="D251" s="79" t="s">
        <v>10</v>
      </c>
      <c r="E251" s="79" t="s">
        <v>540</v>
      </c>
      <c r="F251" s="79" t="s">
        <v>24</v>
      </c>
      <c r="G251" s="8">
        <f>прил4.!G73</f>
        <v>0</v>
      </c>
      <c r="H251" s="8">
        <f>прил4.!H73</f>
        <v>56958.59</v>
      </c>
      <c r="I251" s="8">
        <f>прил4.!I73</f>
        <v>59236.93</v>
      </c>
      <c r="J251" s="138"/>
      <c r="K251" s="142"/>
      <c r="L251" s="142"/>
      <c r="M251" s="142"/>
      <c r="N251" s="142"/>
      <c r="O251" s="142"/>
      <c r="P251" s="142"/>
      <c r="Q251" s="142"/>
      <c r="R251" s="142"/>
      <c r="S251" s="1"/>
      <c r="T251" s="1"/>
    </row>
    <row r="252" spans="1:20" x14ac:dyDescent="0.25">
      <c r="A252" s="78" t="s">
        <v>541</v>
      </c>
      <c r="B252" s="120">
        <v>757</v>
      </c>
      <c r="C252" s="79" t="s">
        <v>30</v>
      </c>
      <c r="D252" s="79" t="s">
        <v>10</v>
      </c>
      <c r="E252" s="79" t="s">
        <v>542</v>
      </c>
      <c r="F252" s="79"/>
      <c r="G252" s="8">
        <f>G253</f>
        <v>284000</v>
      </c>
      <c r="H252" s="8">
        <f t="shared" ref="H252:I253" si="106">H253</f>
        <v>0</v>
      </c>
      <c r="I252" s="8">
        <f t="shared" si="106"/>
        <v>0</v>
      </c>
      <c r="J252" s="138"/>
      <c r="K252" s="142"/>
      <c r="L252" s="142"/>
      <c r="M252" s="142"/>
      <c r="N252" s="142"/>
      <c r="O252" s="142"/>
      <c r="P252" s="142"/>
      <c r="Q252" s="142"/>
      <c r="R252" s="142"/>
      <c r="S252" s="1"/>
      <c r="T252" s="1"/>
    </row>
    <row r="253" spans="1:20" ht="26.4" x14ac:dyDescent="0.25">
      <c r="A253" s="78" t="s">
        <v>21</v>
      </c>
      <c r="B253" s="120">
        <v>757</v>
      </c>
      <c r="C253" s="79" t="s">
        <v>30</v>
      </c>
      <c r="D253" s="79" t="s">
        <v>10</v>
      </c>
      <c r="E253" s="79" t="s">
        <v>542</v>
      </c>
      <c r="F253" s="79" t="s">
        <v>22</v>
      </c>
      <c r="G253" s="8">
        <f>G254</f>
        <v>284000</v>
      </c>
      <c r="H253" s="8">
        <f t="shared" si="106"/>
        <v>0</v>
      </c>
      <c r="I253" s="8">
        <f t="shared" si="106"/>
        <v>0</v>
      </c>
      <c r="J253" s="138"/>
      <c r="K253" s="142"/>
      <c r="L253" s="142"/>
      <c r="M253" s="142"/>
      <c r="N253" s="142"/>
      <c r="O253" s="142"/>
      <c r="P253" s="142"/>
      <c r="Q253" s="142"/>
      <c r="R253" s="142"/>
      <c r="S253" s="1"/>
      <c r="T253" s="1"/>
    </row>
    <row r="254" spans="1:20" x14ac:dyDescent="0.25">
      <c r="A254" s="78" t="s">
        <v>23</v>
      </c>
      <c r="B254" s="120">
        <v>757</v>
      </c>
      <c r="C254" s="79" t="s">
        <v>30</v>
      </c>
      <c r="D254" s="79" t="s">
        <v>10</v>
      </c>
      <c r="E254" s="79" t="s">
        <v>542</v>
      </c>
      <c r="F254" s="79" t="s">
        <v>24</v>
      </c>
      <c r="G254" s="8">
        <f>прил4.!G76</f>
        <v>284000</v>
      </c>
      <c r="H254" s="8">
        <f>прил4.!H76</f>
        <v>0</v>
      </c>
      <c r="I254" s="8">
        <f>прил4.!I76</f>
        <v>0</v>
      </c>
      <c r="J254" s="138"/>
      <c r="K254" s="142"/>
      <c r="L254" s="142"/>
      <c r="M254" s="142"/>
      <c r="N254" s="142"/>
      <c r="O254" s="142"/>
      <c r="P254" s="142"/>
      <c r="Q254" s="142"/>
      <c r="R254" s="142"/>
      <c r="S254" s="1"/>
      <c r="T254" s="1"/>
    </row>
    <row r="255" spans="1:20" hidden="1" x14ac:dyDescent="0.25">
      <c r="A255" s="78" t="s">
        <v>543</v>
      </c>
      <c r="B255" s="120">
        <v>757</v>
      </c>
      <c r="C255" s="79" t="s">
        <v>30</v>
      </c>
      <c r="D255" s="79" t="s">
        <v>10</v>
      </c>
      <c r="E255" s="79" t="s">
        <v>544</v>
      </c>
      <c r="F255" s="79"/>
      <c r="G255" s="80">
        <f t="shared" ref="G255:I256" si="107">G256</f>
        <v>0</v>
      </c>
      <c r="H255" s="80">
        <f t="shared" si="107"/>
        <v>0</v>
      </c>
      <c r="I255" s="80">
        <f t="shared" si="107"/>
        <v>0</v>
      </c>
      <c r="J255" s="138"/>
      <c r="K255" s="142"/>
      <c r="L255" s="142"/>
      <c r="M255" s="142"/>
      <c r="N255" s="142"/>
      <c r="O255" s="142"/>
      <c r="P255" s="142"/>
      <c r="Q255" s="142"/>
      <c r="R255" s="142"/>
      <c r="S255" s="1"/>
      <c r="T255" s="1"/>
    </row>
    <row r="256" spans="1:20" ht="26.4" hidden="1" x14ac:dyDescent="0.25">
      <c r="A256" s="78" t="s">
        <v>21</v>
      </c>
      <c r="B256" s="120">
        <v>757</v>
      </c>
      <c r="C256" s="79" t="s">
        <v>30</v>
      </c>
      <c r="D256" s="79" t="s">
        <v>10</v>
      </c>
      <c r="E256" s="79" t="s">
        <v>544</v>
      </c>
      <c r="F256" s="79" t="s">
        <v>22</v>
      </c>
      <c r="G256" s="80">
        <f t="shared" si="107"/>
        <v>0</v>
      </c>
      <c r="H256" s="80">
        <f t="shared" si="107"/>
        <v>0</v>
      </c>
      <c r="I256" s="80">
        <f t="shared" si="107"/>
        <v>0</v>
      </c>
      <c r="J256" s="138"/>
      <c r="K256" s="142"/>
      <c r="L256" s="142"/>
      <c r="M256" s="142"/>
      <c r="N256" s="142"/>
      <c r="O256" s="142"/>
      <c r="P256" s="142"/>
      <c r="Q256" s="142"/>
      <c r="R256" s="142"/>
      <c r="S256" s="1"/>
      <c r="T256" s="1"/>
    </row>
    <row r="257" spans="1:20" hidden="1" x14ac:dyDescent="0.25">
      <c r="A257" s="78" t="s">
        <v>23</v>
      </c>
      <c r="B257" s="120">
        <v>757</v>
      </c>
      <c r="C257" s="79" t="s">
        <v>30</v>
      </c>
      <c r="D257" s="79" t="s">
        <v>10</v>
      </c>
      <c r="E257" s="79" t="s">
        <v>544</v>
      </c>
      <c r="F257" s="79" t="s">
        <v>24</v>
      </c>
      <c r="G257" s="8">
        <f>прил4.!G79</f>
        <v>0</v>
      </c>
      <c r="H257" s="8">
        <f>прил4.!H79</f>
        <v>0</v>
      </c>
      <c r="I257" s="8">
        <f>прил4.!I79</f>
        <v>0</v>
      </c>
      <c r="J257" s="138"/>
      <c r="K257" s="142"/>
      <c r="L257" s="142"/>
      <c r="M257" s="142"/>
      <c r="N257" s="142"/>
      <c r="O257" s="142"/>
      <c r="P257" s="142"/>
      <c r="Q257" s="142"/>
      <c r="R257" s="142"/>
      <c r="S257" s="1"/>
      <c r="T257" s="1"/>
    </row>
    <row r="258" spans="1:20" ht="26.4" x14ac:dyDescent="0.25">
      <c r="A258" s="16" t="s">
        <v>20</v>
      </c>
      <c r="B258" s="14">
        <v>757</v>
      </c>
      <c r="C258" s="15" t="s">
        <v>17</v>
      </c>
      <c r="D258" s="15" t="s">
        <v>19</v>
      </c>
      <c r="E258" s="15" t="s">
        <v>112</v>
      </c>
      <c r="F258" s="15"/>
      <c r="G258" s="81">
        <f>G259</f>
        <v>35311035.280000001</v>
      </c>
      <c r="H258" s="70">
        <f t="shared" ref="G258:I259" si="108">H259</f>
        <v>37046344.590000004</v>
      </c>
      <c r="I258" s="70">
        <f t="shared" si="108"/>
        <v>38893677.939999998</v>
      </c>
      <c r="J258" s="2">
        <v>435600</v>
      </c>
    </row>
    <row r="259" spans="1:20" ht="26.4" x14ac:dyDescent="0.25">
      <c r="A259" s="16" t="s">
        <v>21</v>
      </c>
      <c r="B259" s="14">
        <v>757</v>
      </c>
      <c r="C259" s="15" t="s">
        <v>17</v>
      </c>
      <c r="D259" s="15" t="s">
        <v>19</v>
      </c>
      <c r="E259" s="15" t="s">
        <v>112</v>
      </c>
      <c r="F259" s="15" t="s">
        <v>22</v>
      </c>
      <c r="G259" s="81">
        <f t="shared" si="108"/>
        <v>35311035.280000001</v>
      </c>
      <c r="H259" s="70">
        <f t="shared" si="108"/>
        <v>37046344.590000004</v>
      </c>
      <c r="I259" s="70">
        <f t="shared" si="108"/>
        <v>38893677.939999998</v>
      </c>
      <c r="J259" s="2">
        <v>300</v>
      </c>
    </row>
    <row r="260" spans="1:20" ht="19.5" customHeight="1" x14ac:dyDescent="0.25">
      <c r="A260" s="16" t="s">
        <v>23</v>
      </c>
      <c r="B260" s="14">
        <v>757</v>
      </c>
      <c r="C260" s="15" t="s">
        <v>17</v>
      </c>
      <c r="D260" s="15" t="s">
        <v>19</v>
      </c>
      <c r="E260" s="15" t="s">
        <v>112</v>
      </c>
      <c r="F260" s="15" t="s">
        <v>24</v>
      </c>
      <c r="G260" s="81">
        <f>прил4.!G20</f>
        <v>35311035.280000001</v>
      </c>
      <c r="H260" s="70">
        <f>прил4.!H20</f>
        <v>37046344.590000004</v>
      </c>
      <c r="I260" s="70">
        <f>прил4.!I20</f>
        <v>38893677.939999998</v>
      </c>
      <c r="J260" s="2">
        <f>SUM(J238:J259)</f>
        <v>139023744</v>
      </c>
    </row>
    <row r="261" spans="1:20" ht="48.75" customHeight="1" x14ac:dyDescent="0.25">
      <c r="A261" s="78" t="s">
        <v>550</v>
      </c>
      <c r="B261" s="14">
        <v>757</v>
      </c>
      <c r="C261" s="15" t="s">
        <v>17</v>
      </c>
      <c r="D261" s="15" t="s">
        <v>49</v>
      </c>
      <c r="E261" s="15" t="s">
        <v>551</v>
      </c>
      <c r="F261" s="15"/>
      <c r="G261" s="70">
        <f>G262</f>
        <v>130000</v>
      </c>
      <c r="H261" s="70">
        <f t="shared" ref="H261:I261" si="109">H262</f>
        <v>130000</v>
      </c>
      <c r="I261" s="70">
        <f t="shared" si="109"/>
        <v>130000</v>
      </c>
      <c r="J261" s="1"/>
    </row>
    <row r="262" spans="1:20" ht="26.4" x14ac:dyDescent="0.25">
      <c r="A262" s="16" t="s">
        <v>21</v>
      </c>
      <c r="B262" s="14">
        <v>757</v>
      </c>
      <c r="C262" s="15" t="s">
        <v>17</v>
      </c>
      <c r="D262" s="15" t="s">
        <v>49</v>
      </c>
      <c r="E262" s="15" t="s">
        <v>551</v>
      </c>
      <c r="F262" s="15" t="s">
        <v>22</v>
      </c>
      <c r="G262" s="70">
        <f>G263</f>
        <v>130000</v>
      </c>
      <c r="H262" s="70">
        <f>H263</f>
        <v>130000</v>
      </c>
      <c r="I262" s="70">
        <f>I263</f>
        <v>130000</v>
      </c>
      <c r="J262" s="1"/>
    </row>
    <row r="263" spans="1:20" ht="19.5" customHeight="1" x14ac:dyDescent="0.25">
      <c r="A263" s="16" t="s">
        <v>23</v>
      </c>
      <c r="B263" s="14">
        <v>757</v>
      </c>
      <c r="C263" s="15" t="s">
        <v>17</v>
      </c>
      <c r="D263" s="15" t="s">
        <v>49</v>
      </c>
      <c r="E263" s="15" t="s">
        <v>551</v>
      </c>
      <c r="F263" s="15" t="s">
        <v>24</v>
      </c>
      <c r="G263" s="70">
        <f>прил4.!G23</f>
        <v>130000</v>
      </c>
      <c r="H263" s="70">
        <f>прил4.!H23</f>
        <v>130000</v>
      </c>
      <c r="I263" s="70">
        <f>прил4.!I23</f>
        <v>130000</v>
      </c>
      <c r="J263" s="1"/>
    </row>
    <row r="264" spans="1:20" hidden="1" x14ac:dyDescent="0.25">
      <c r="A264" s="78" t="s">
        <v>545</v>
      </c>
      <c r="B264" s="120">
        <v>757</v>
      </c>
      <c r="C264" s="79" t="s">
        <v>30</v>
      </c>
      <c r="D264" s="79" t="s">
        <v>10</v>
      </c>
      <c r="E264" s="79" t="s">
        <v>546</v>
      </c>
      <c r="F264" s="79"/>
      <c r="G264" s="70">
        <f>G265</f>
        <v>0</v>
      </c>
      <c r="H264" s="70">
        <f t="shared" ref="H264:I264" si="110">H265</f>
        <v>0</v>
      </c>
      <c r="I264" s="70">
        <f t="shared" si="110"/>
        <v>0</v>
      </c>
      <c r="J264" s="137"/>
      <c r="K264" s="142"/>
      <c r="L264" s="142"/>
      <c r="M264" s="142"/>
      <c r="N264" s="142"/>
      <c r="O264" s="142"/>
      <c r="P264" s="142"/>
      <c r="Q264" s="142"/>
      <c r="R264" s="142"/>
      <c r="S264" s="1"/>
      <c r="T264" s="1"/>
    </row>
    <row r="265" spans="1:20" ht="26.4" hidden="1" x14ac:dyDescent="0.25">
      <c r="A265" s="78" t="s">
        <v>21</v>
      </c>
      <c r="B265" s="120">
        <v>757</v>
      </c>
      <c r="C265" s="79" t="s">
        <v>30</v>
      </c>
      <c r="D265" s="79" t="s">
        <v>10</v>
      </c>
      <c r="E265" s="79" t="s">
        <v>546</v>
      </c>
      <c r="F265" s="79" t="s">
        <v>22</v>
      </c>
      <c r="G265" s="70">
        <f>G266</f>
        <v>0</v>
      </c>
      <c r="H265" s="70">
        <f>H266</f>
        <v>0</v>
      </c>
      <c r="I265" s="70">
        <f>I266</f>
        <v>0</v>
      </c>
      <c r="J265" s="137"/>
      <c r="K265" s="142"/>
      <c r="L265" s="142"/>
      <c r="M265" s="142"/>
      <c r="N265" s="142"/>
      <c r="O265" s="142"/>
      <c r="P265" s="142"/>
      <c r="Q265" s="142"/>
      <c r="R265" s="142"/>
      <c r="S265" s="1"/>
      <c r="T265" s="1"/>
    </row>
    <row r="266" spans="1:20" ht="19.5" hidden="1" customHeight="1" x14ac:dyDescent="0.25">
      <c r="A266" s="78" t="s">
        <v>23</v>
      </c>
      <c r="B266" s="120">
        <v>757</v>
      </c>
      <c r="C266" s="79" t="s">
        <v>30</v>
      </c>
      <c r="D266" s="79" t="s">
        <v>10</v>
      </c>
      <c r="E266" s="79" t="s">
        <v>546</v>
      </c>
      <c r="F266" s="79" t="s">
        <v>24</v>
      </c>
      <c r="G266" s="70">
        <f>прил4.!G93</f>
        <v>0</v>
      </c>
      <c r="H266" s="70">
        <f>прил4.!H93</f>
        <v>0</v>
      </c>
      <c r="I266" s="70">
        <f>прил4.!I93</f>
        <v>0</v>
      </c>
      <c r="J266" s="137"/>
      <c r="K266" s="142"/>
      <c r="L266" s="142"/>
      <c r="M266" s="142"/>
      <c r="N266" s="142"/>
      <c r="O266" s="142"/>
      <c r="P266" s="142"/>
      <c r="Q266" s="142"/>
      <c r="R266" s="142"/>
      <c r="S266" s="1"/>
      <c r="T266" s="1"/>
    </row>
    <row r="267" spans="1:20" ht="26.4" x14ac:dyDescent="0.25">
      <c r="A267" s="78" t="s">
        <v>392</v>
      </c>
      <c r="B267" s="14">
        <v>757</v>
      </c>
      <c r="C267" s="15" t="s">
        <v>17</v>
      </c>
      <c r="D267" s="15" t="s">
        <v>49</v>
      </c>
      <c r="E267" s="15" t="s">
        <v>312</v>
      </c>
      <c r="F267" s="15"/>
      <c r="G267" s="70">
        <f>G268</f>
        <v>400000</v>
      </c>
      <c r="H267" s="70">
        <f t="shared" ref="H267:I267" si="111">H268</f>
        <v>400000</v>
      </c>
      <c r="I267" s="70">
        <f t="shared" si="111"/>
        <v>400000</v>
      </c>
      <c r="J267" s="1"/>
    </row>
    <row r="268" spans="1:20" ht="26.4" x14ac:dyDescent="0.25">
      <c r="A268" s="16" t="s">
        <v>21</v>
      </c>
      <c r="B268" s="14">
        <v>757</v>
      </c>
      <c r="C268" s="15" t="s">
        <v>17</v>
      </c>
      <c r="D268" s="15" t="s">
        <v>49</v>
      </c>
      <c r="E268" s="15" t="s">
        <v>312</v>
      </c>
      <c r="F268" s="15" t="s">
        <v>22</v>
      </c>
      <c r="G268" s="70">
        <f>G269+G270</f>
        <v>400000</v>
      </c>
      <c r="H268" s="70">
        <f t="shared" ref="H268:I268" si="112">H269+H270</f>
        <v>400000</v>
      </c>
      <c r="I268" s="70">
        <f t="shared" si="112"/>
        <v>400000</v>
      </c>
      <c r="J268" s="1"/>
    </row>
    <row r="269" spans="1:20" ht="19.5" customHeight="1" x14ac:dyDescent="0.25">
      <c r="A269" s="16" t="s">
        <v>23</v>
      </c>
      <c r="B269" s="14">
        <v>757</v>
      </c>
      <c r="C269" s="15" t="s">
        <v>17</v>
      </c>
      <c r="D269" s="15" t="s">
        <v>49</v>
      </c>
      <c r="E269" s="15" t="s">
        <v>312</v>
      </c>
      <c r="F269" s="15" t="s">
        <v>24</v>
      </c>
      <c r="G269" s="70">
        <f>прил4.!G32+прил4.!G85</f>
        <v>370000</v>
      </c>
      <c r="H269" s="70">
        <f>прил4.!H32+прил4.!H85</f>
        <v>368800</v>
      </c>
      <c r="I269" s="70">
        <f>прил4.!I32+прил4.!I85</f>
        <v>367552</v>
      </c>
      <c r="J269" s="1"/>
    </row>
    <row r="270" spans="1:20" ht="19.5" customHeight="1" x14ac:dyDescent="0.25">
      <c r="A270" s="78" t="s">
        <v>276</v>
      </c>
      <c r="B270" s="120">
        <v>757</v>
      </c>
      <c r="C270" s="79" t="s">
        <v>30</v>
      </c>
      <c r="D270" s="79" t="s">
        <v>10</v>
      </c>
      <c r="E270" s="79" t="s">
        <v>312</v>
      </c>
      <c r="F270" s="79" t="s">
        <v>275</v>
      </c>
      <c r="G270" s="81">
        <f>прил4.!G86</f>
        <v>30000</v>
      </c>
      <c r="H270" s="81">
        <f>прил4.!H86</f>
        <v>31200</v>
      </c>
      <c r="I270" s="81">
        <f>прил4.!I86</f>
        <v>32448</v>
      </c>
      <c r="J270" s="137"/>
      <c r="K270" s="142"/>
      <c r="L270" s="142"/>
      <c r="M270" s="142"/>
      <c r="N270" s="142"/>
      <c r="O270" s="142"/>
      <c r="P270" s="142"/>
      <c r="Q270" s="142"/>
      <c r="R270" s="142"/>
      <c r="S270" s="1"/>
      <c r="T270" s="1"/>
    </row>
    <row r="271" spans="1:20" x14ac:dyDescent="0.25">
      <c r="A271" s="16" t="s">
        <v>305</v>
      </c>
      <c r="B271" s="14">
        <v>757</v>
      </c>
      <c r="C271" s="15" t="s">
        <v>30</v>
      </c>
      <c r="D271" s="15" t="s">
        <v>10</v>
      </c>
      <c r="E271" s="15" t="s">
        <v>304</v>
      </c>
      <c r="F271" s="15"/>
      <c r="G271" s="70">
        <f>G272</f>
        <v>500000</v>
      </c>
      <c r="H271" s="70">
        <f t="shared" ref="H271:I271" si="113">H272</f>
        <v>894673.47</v>
      </c>
      <c r="I271" s="70">
        <f t="shared" si="113"/>
        <v>930673.47</v>
      </c>
      <c r="J271" s="1"/>
    </row>
    <row r="272" spans="1:20" ht="26.4" x14ac:dyDescent="0.25">
      <c r="A272" s="16" t="s">
        <v>21</v>
      </c>
      <c r="B272" s="14">
        <v>757</v>
      </c>
      <c r="C272" s="15" t="s">
        <v>30</v>
      </c>
      <c r="D272" s="15" t="s">
        <v>10</v>
      </c>
      <c r="E272" s="15" t="s">
        <v>304</v>
      </c>
      <c r="F272" s="15" t="s">
        <v>22</v>
      </c>
      <c r="G272" s="70">
        <f>G273+G274</f>
        <v>500000</v>
      </c>
      <c r="H272" s="70">
        <f t="shared" ref="H272:I272" si="114">H273+H274</f>
        <v>894673.47</v>
      </c>
      <c r="I272" s="70">
        <f t="shared" si="114"/>
        <v>930673.47</v>
      </c>
      <c r="J272" s="1"/>
    </row>
    <row r="273" spans="1:20" ht="19.5" customHeight="1" x14ac:dyDescent="0.25">
      <c r="A273" s="16" t="s">
        <v>23</v>
      </c>
      <c r="B273" s="14">
        <v>757</v>
      </c>
      <c r="C273" s="15" t="s">
        <v>30</v>
      </c>
      <c r="D273" s="15" t="s">
        <v>10</v>
      </c>
      <c r="E273" s="15" t="s">
        <v>304</v>
      </c>
      <c r="F273" s="15" t="s">
        <v>24</v>
      </c>
      <c r="G273" s="70">
        <f>прил4.!G89+прил4.!G26</f>
        <v>489795.92</v>
      </c>
      <c r="H273" s="70">
        <f>прил4.!H89+прил4.!H26</f>
        <v>876673.47</v>
      </c>
      <c r="I273" s="70">
        <f>прил4.!I89+прил4.!I26</f>
        <v>912673.47</v>
      </c>
      <c r="J273" s="1"/>
    </row>
    <row r="274" spans="1:20" ht="19.5" customHeight="1" x14ac:dyDescent="0.25">
      <c r="A274" s="78" t="s">
        <v>276</v>
      </c>
      <c r="B274" s="120">
        <v>757</v>
      </c>
      <c r="C274" s="79" t="s">
        <v>30</v>
      </c>
      <c r="D274" s="79" t="s">
        <v>10</v>
      </c>
      <c r="E274" s="79" t="s">
        <v>304</v>
      </c>
      <c r="F274" s="79" t="s">
        <v>275</v>
      </c>
      <c r="G274" s="81">
        <f>прил4.!G90</f>
        <v>10204.08</v>
      </c>
      <c r="H274" s="81">
        <f>прил4.!H90</f>
        <v>18000</v>
      </c>
      <c r="I274" s="81">
        <f>прил4.!I90</f>
        <v>18000</v>
      </c>
      <c r="J274" s="137"/>
      <c r="K274" s="142"/>
      <c r="L274" s="142"/>
      <c r="M274" s="142"/>
      <c r="N274" s="142"/>
      <c r="O274" s="142"/>
      <c r="P274" s="142"/>
      <c r="Q274" s="142"/>
      <c r="R274" s="142"/>
      <c r="S274" s="1"/>
      <c r="T274" s="1"/>
    </row>
    <row r="275" spans="1:20" ht="39.6" x14ac:dyDescent="0.25">
      <c r="A275" s="16" t="s">
        <v>307</v>
      </c>
      <c r="B275" s="14">
        <v>757</v>
      </c>
      <c r="C275" s="15" t="s">
        <v>30</v>
      </c>
      <c r="D275" s="15" t="s">
        <v>10</v>
      </c>
      <c r="E275" s="15" t="s">
        <v>306</v>
      </c>
      <c r="F275" s="15"/>
      <c r="G275" s="70">
        <f>G276</f>
        <v>0</v>
      </c>
      <c r="H275" s="70">
        <f t="shared" ref="H275:I275" si="115">H276</f>
        <v>8120</v>
      </c>
      <c r="I275" s="70">
        <f t="shared" si="115"/>
        <v>16120</v>
      </c>
      <c r="J275" s="1"/>
    </row>
    <row r="276" spans="1:20" ht="26.4" x14ac:dyDescent="0.25">
      <c r="A276" s="16" t="s">
        <v>21</v>
      </c>
      <c r="B276" s="14">
        <v>757</v>
      </c>
      <c r="C276" s="15" t="s">
        <v>30</v>
      </c>
      <c r="D276" s="15" t="s">
        <v>10</v>
      </c>
      <c r="E276" s="15" t="s">
        <v>306</v>
      </c>
      <c r="F276" s="15" t="s">
        <v>22</v>
      </c>
      <c r="G276" s="70">
        <f>G277</f>
        <v>0</v>
      </c>
      <c r="H276" s="70">
        <f>H277</f>
        <v>8120</v>
      </c>
      <c r="I276" s="70">
        <f>I277</f>
        <v>16120</v>
      </c>
      <c r="J276" s="1"/>
    </row>
    <row r="277" spans="1:20" ht="19.5" customHeight="1" x14ac:dyDescent="0.25">
      <c r="A277" s="16" t="s">
        <v>23</v>
      </c>
      <c r="B277" s="14">
        <v>757</v>
      </c>
      <c r="C277" s="15" t="s">
        <v>30</v>
      </c>
      <c r="D277" s="15" t="s">
        <v>10</v>
      </c>
      <c r="E277" s="15" t="s">
        <v>306</v>
      </c>
      <c r="F277" s="15" t="s">
        <v>24</v>
      </c>
      <c r="G277" s="70">
        <f>прил4.!G96+прил4.!G29</f>
        <v>0</v>
      </c>
      <c r="H277" s="70">
        <f>прил4.!H96</f>
        <v>8120</v>
      </c>
      <c r="I277" s="70">
        <f>прил4.!I96</f>
        <v>16120</v>
      </c>
      <c r="J277" s="1"/>
    </row>
    <row r="278" spans="1:20" ht="45.75" hidden="1" customHeight="1" x14ac:dyDescent="0.25">
      <c r="A278" s="78" t="s">
        <v>468</v>
      </c>
      <c r="B278" s="120">
        <v>757</v>
      </c>
      <c r="C278" s="79" t="s">
        <v>17</v>
      </c>
      <c r="D278" s="79" t="s">
        <v>49</v>
      </c>
      <c r="E278" s="79" t="s">
        <v>308</v>
      </c>
      <c r="F278" s="79"/>
      <c r="G278" s="70">
        <f>G279</f>
        <v>0</v>
      </c>
      <c r="H278" s="81">
        <f t="shared" ref="H278:I278" si="116">H279</f>
        <v>0</v>
      </c>
      <c r="I278" s="81">
        <f t="shared" si="116"/>
        <v>0</v>
      </c>
      <c r="J278" s="137"/>
      <c r="K278" s="142"/>
      <c r="L278" s="142"/>
      <c r="M278" s="142"/>
      <c r="N278" s="142"/>
      <c r="O278" s="142"/>
      <c r="P278" s="142"/>
      <c r="Q278" s="142"/>
      <c r="R278" s="142"/>
      <c r="S278" s="1"/>
      <c r="T278" s="1"/>
    </row>
    <row r="279" spans="1:20" ht="26.4" hidden="1" x14ac:dyDescent="0.25">
      <c r="A279" s="78" t="s">
        <v>21</v>
      </c>
      <c r="B279" s="120">
        <v>757</v>
      </c>
      <c r="C279" s="79" t="s">
        <v>17</v>
      </c>
      <c r="D279" s="79" t="s">
        <v>49</v>
      </c>
      <c r="E279" s="79" t="s">
        <v>308</v>
      </c>
      <c r="F279" s="79" t="s">
        <v>22</v>
      </c>
      <c r="G279" s="70">
        <f>G280</f>
        <v>0</v>
      </c>
      <c r="H279" s="81">
        <f>H280</f>
        <v>0</v>
      </c>
      <c r="I279" s="81">
        <f>I280</f>
        <v>0</v>
      </c>
      <c r="J279" s="137"/>
      <c r="K279" s="142"/>
      <c r="L279" s="142"/>
      <c r="M279" s="142"/>
      <c r="N279" s="142"/>
      <c r="O279" s="142"/>
      <c r="P279" s="142"/>
      <c r="Q279" s="142"/>
      <c r="R279" s="142"/>
      <c r="S279" s="1"/>
      <c r="T279" s="1"/>
    </row>
    <row r="280" spans="1:20" ht="19.5" hidden="1" customHeight="1" x14ac:dyDescent="0.25">
      <c r="A280" s="78" t="s">
        <v>23</v>
      </c>
      <c r="B280" s="120">
        <v>757</v>
      </c>
      <c r="C280" s="79" t="s">
        <v>17</v>
      </c>
      <c r="D280" s="79" t="s">
        <v>49</v>
      </c>
      <c r="E280" s="79" t="s">
        <v>308</v>
      </c>
      <c r="F280" s="79" t="s">
        <v>24</v>
      </c>
      <c r="G280" s="70">
        <f>прил4.!G35</f>
        <v>0</v>
      </c>
      <c r="H280" s="81">
        <v>0</v>
      </c>
      <c r="I280" s="81">
        <v>0</v>
      </c>
      <c r="J280" s="137"/>
      <c r="K280" s="142"/>
      <c r="L280" s="142"/>
      <c r="M280" s="142"/>
      <c r="N280" s="142"/>
      <c r="O280" s="142"/>
      <c r="P280" s="142"/>
      <c r="Q280" s="142"/>
      <c r="R280" s="142"/>
      <c r="S280" s="1"/>
      <c r="T280" s="1"/>
    </row>
    <row r="281" spans="1:20" ht="36" hidden="1" customHeight="1" x14ac:dyDescent="0.25">
      <c r="A281" s="16" t="s">
        <v>338</v>
      </c>
      <c r="B281" s="14">
        <v>757</v>
      </c>
      <c r="C281" s="15" t="s">
        <v>30</v>
      </c>
      <c r="D281" s="15" t="s">
        <v>10</v>
      </c>
      <c r="E281" s="15" t="s">
        <v>309</v>
      </c>
      <c r="F281" s="15"/>
      <c r="G281" s="70">
        <f>G282</f>
        <v>0</v>
      </c>
      <c r="H281" s="70">
        <f t="shared" ref="H281:I281" si="117">H282</f>
        <v>0</v>
      </c>
      <c r="I281" s="70">
        <f t="shared" si="117"/>
        <v>0</v>
      </c>
      <c r="J281" s="1"/>
    </row>
    <row r="282" spans="1:20" ht="26.4" hidden="1" x14ac:dyDescent="0.25">
      <c r="A282" s="16" t="s">
        <v>21</v>
      </c>
      <c r="B282" s="14">
        <v>757</v>
      </c>
      <c r="C282" s="15" t="s">
        <v>30</v>
      </c>
      <c r="D282" s="15" t="s">
        <v>10</v>
      </c>
      <c r="E282" s="15" t="s">
        <v>309</v>
      </c>
      <c r="F282" s="15" t="s">
        <v>22</v>
      </c>
      <c r="G282" s="70">
        <f>G283</f>
        <v>0</v>
      </c>
      <c r="H282" s="70">
        <f>H283</f>
        <v>0</v>
      </c>
      <c r="I282" s="70">
        <f>I283</f>
        <v>0</v>
      </c>
      <c r="J282" s="1"/>
    </row>
    <row r="283" spans="1:20" ht="19.5" hidden="1" customHeight="1" x14ac:dyDescent="0.25">
      <c r="A283" s="16" t="s">
        <v>23</v>
      </c>
      <c r="B283" s="14">
        <v>757</v>
      </c>
      <c r="C283" s="15" t="s">
        <v>30</v>
      </c>
      <c r="D283" s="15" t="s">
        <v>10</v>
      </c>
      <c r="E283" s="15" t="s">
        <v>309</v>
      </c>
      <c r="F283" s="15" t="s">
        <v>24</v>
      </c>
      <c r="G283" s="70">
        <f>прил4.!G99</f>
        <v>0</v>
      </c>
      <c r="H283" s="70">
        <f>прил4.!H99</f>
        <v>0</v>
      </c>
      <c r="I283" s="70">
        <f>прил4.!I99</f>
        <v>0</v>
      </c>
      <c r="J283" s="1"/>
    </row>
    <row r="284" spans="1:20" ht="26.4" x14ac:dyDescent="0.25">
      <c r="A284" s="16" t="s">
        <v>311</v>
      </c>
      <c r="B284" s="14">
        <v>757</v>
      </c>
      <c r="C284" s="15" t="s">
        <v>30</v>
      </c>
      <c r="D284" s="15" t="s">
        <v>10</v>
      </c>
      <c r="E284" s="15" t="s">
        <v>310</v>
      </c>
      <c r="F284" s="15"/>
      <c r="G284" s="70">
        <f>G285</f>
        <v>17381</v>
      </c>
      <c r="H284" s="70">
        <f t="shared" ref="H284:I284" si="118">H285</f>
        <v>28259.72</v>
      </c>
      <c r="I284" s="70">
        <f t="shared" si="118"/>
        <v>29070.67</v>
      </c>
      <c r="J284" s="1"/>
    </row>
    <row r="285" spans="1:20" ht="26.4" x14ac:dyDescent="0.25">
      <c r="A285" s="16" t="s">
        <v>21</v>
      </c>
      <c r="B285" s="14">
        <v>757</v>
      </c>
      <c r="C285" s="15" t="s">
        <v>30</v>
      </c>
      <c r="D285" s="15" t="s">
        <v>10</v>
      </c>
      <c r="E285" s="15" t="s">
        <v>310</v>
      </c>
      <c r="F285" s="15" t="s">
        <v>22</v>
      </c>
      <c r="G285" s="70">
        <f>G286</f>
        <v>17381</v>
      </c>
      <c r="H285" s="70">
        <f>H286</f>
        <v>28259.72</v>
      </c>
      <c r="I285" s="70">
        <f>I286</f>
        <v>29070.67</v>
      </c>
      <c r="J285" s="1"/>
    </row>
    <row r="286" spans="1:20" ht="19.5" customHeight="1" x14ac:dyDescent="0.25">
      <c r="A286" s="16" t="s">
        <v>23</v>
      </c>
      <c r="B286" s="14">
        <v>757</v>
      </c>
      <c r="C286" s="15" t="s">
        <v>30</v>
      </c>
      <c r="D286" s="15" t="s">
        <v>10</v>
      </c>
      <c r="E286" s="15" t="s">
        <v>310</v>
      </c>
      <c r="F286" s="15" t="s">
        <v>24</v>
      </c>
      <c r="G286" s="70">
        <f>прил4.!G102+прил4.!G38</f>
        <v>17381</v>
      </c>
      <c r="H286" s="70">
        <f>прил4.!H102+прил4.!H38</f>
        <v>28259.72</v>
      </c>
      <c r="I286" s="70">
        <f>прил4.!I102+прил4.!I38</f>
        <v>29070.67</v>
      </c>
      <c r="J286" s="1"/>
    </row>
    <row r="287" spans="1:20" ht="89.25" hidden="1" customHeight="1" x14ac:dyDescent="0.25">
      <c r="A287" s="78" t="s">
        <v>471</v>
      </c>
      <c r="B287" s="120">
        <v>757</v>
      </c>
      <c r="C287" s="79" t="s">
        <v>30</v>
      </c>
      <c r="D287" s="79" t="s">
        <v>10</v>
      </c>
      <c r="E287" s="79" t="s">
        <v>344</v>
      </c>
      <c r="F287" s="79"/>
      <c r="G287" s="70">
        <f>G288</f>
        <v>0</v>
      </c>
      <c r="H287" s="81">
        <f t="shared" ref="H287:I287" si="119">H288</f>
        <v>0</v>
      </c>
      <c r="I287" s="81">
        <f t="shared" si="119"/>
        <v>0</v>
      </c>
      <c r="J287" s="137"/>
      <c r="K287" s="142"/>
      <c r="L287" s="142"/>
      <c r="M287" s="142"/>
      <c r="N287" s="142"/>
      <c r="O287" s="142"/>
      <c r="P287" s="142"/>
      <c r="Q287" s="142"/>
      <c r="R287" s="142"/>
      <c r="S287" s="1"/>
      <c r="T287" s="1"/>
    </row>
    <row r="288" spans="1:20" ht="26.4" hidden="1" x14ac:dyDescent="0.25">
      <c r="A288" s="78" t="s">
        <v>21</v>
      </c>
      <c r="B288" s="120">
        <v>757</v>
      </c>
      <c r="C288" s="79" t="s">
        <v>30</v>
      </c>
      <c r="D288" s="79" t="s">
        <v>10</v>
      </c>
      <c r="E288" s="79" t="s">
        <v>344</v>
      </c>
      <c r="F288" s="79" t="s">
        <v>22</v>
      </c>
      <c r="G288" s="70">
        <f>G289</f>
        <v>0</v>
      </c>
      <c r="H288" s="81">
        <f>H289</f>
        <v>0</v>
      </c>
      <c r="I288" s="81">
        <f>I289</f>
        <v>0</v>
      </c>
      <c r="J288" s="137"/>
      <c r="K288" s="142"/>
      <c r="L288" s="142"/>
      <c r="M288" s="142"/>
      <c r="N288" s="142"/>
      <c r="O288" s="142"/>
      <c r="P288" s="142"/>
      <c r="Q288" s="142"/>
      <c r="R288" s="142"/>
      <c r="S288" s="1"/>
      <c r="T288" s="1"/>
    </row>
    <row r="289" spans="1:20" ht="19.5" hidden="1" customHeight="1" x14ac:dyDescent="0.25">
      <c r="A289" s="78" t="s">
        <v>23</v>
      </c>
      <c r="B289" s="120">
        <v>757</v>
      </c>
      <c r="C289" s="79" t="s">
        <v>30</v>
      </c>
      <c r="D289" s="79" t="s">
        <v>10</v>
      </c>
      <c r="E289" s="79" t="s">
        <v>344</v>
      </c>
      <c r="F289" s="79" t="s">
        <v>24</v>
      </c>
      <c r="G289" s="70"/>
      <c r="H289" s="81">
        <v>0</v>
      </c>
      <c r="I289" s="81">
        <v>0</v>
      </c>
      <c r="J289" s="137"/>
      <c r="K289" s="142"/>
      <c r="L289" s="142"/>
      <c r="M289" s="142"/>
      <c r="N289" s="142"/>
      <c r="O289" s="142"/>
      <c r="P289" s="142"/>
      <c r="Q289" s="142"/>
      <c r="R289" s="142"/>
      <c r="S289" s="1"/>
      <c r="T289" s="1"/>
    </row>
    <row r="290" spans="1:20" ht="22.5" customHeight="1" x14ac:dyDescent="0.25">
      <c r="A290" s="78" t="s">
        <v>470</v>
      </c>
      <c r="B290" s="120">
        <v>757</v>
      </c>
      <c r="C290" s="79" t="s">
        <v>30</v>
      </c>
      <c r="D290" s="79" t="s">
        <v>10</v>
      </c>
      <c r="E290" s="79" t="s">
        <v>469</v>
      </c>
      <c r="F290" s="79"/>
      <c r="G290" s="70">
        <f>G291</f>
        <v>0</v>
      </c>
      <c r="H290" s="81">
        <f t="shared" ref="H290:I290" si="120">H291</f>
        <v>140000</v>
      </c>
      <c r="I290" s="81">
        <f t="shared" si="120"/>
        <v>140000</v>
      </c>
      <c r="J290" s="137"/>
      <c r="K290" s="142"/>
      <c r="L290" s="142"/>
      <c r="M290" s="142"/>
      <c r="N290" s="142"/>
      <c r="O290" s="142"/>
      <c r="P290" s="142"/>
      <c r="Q290" s="142"/>
      <c r="R290" s="142"/>
      <c r="S290" s="1"/>
      <c r="T290" s="1"/>
    </row>
    <row r="291" spans="1:20" ht="26.4" x14ac:dyDescent="0.25">
      <c r="A291" s="78" t="s">
        <v>21</v>
      </c>
      <c r="B291" s="120">
        <v>757</v>
      </c>
      <c r="C291" s="79" t="s">
        <v>30</v>
      </c>
      <c r="D291" s="79" t="s">
        <v>10</v>
      </c>
      <c r="E291" s="79" t="s">
        <v>469</v>
      </c>
      <c r="F291" s="79" t="s">
        <v>22</v>
      </c>
      <c r="G291" s="70">
        <f>G292</f>
        <v>0</v>
      </c>
      <c r="H291" s="81">
        <f>H292</f>
        <v>140000</v>
      </c>
      <c r="I291" s="81">
        <f>I292</f>
        <v>140000</v>
      </c>
      <c r="J291" s="137"/>
      <c r="K291" s="142"/>
      <c r="L291" s="142"/>
      <c r="M291" s="142"/>
      <c r="N291" s="142"/>
      <c r="O291" s="142"/>
      <c r="P291" s="142"/>
      <c r="Q291" s="142"/>
      <c r="R291" s="142"/>
      <c r="S291" s="1"/>
      <c r="T291" s="1"/>
    </row>
    <row r="292" spans="1:20" ht="26.25" customHeight="1" x14ac:dyDescent="0.25">
      <c r="A292" s="78" t="s">
        <v>23</v>
      </c>
      <c r="B292" s="120">
        <v>757</v>
      </c>
      <c r="C292" s="79" t="s">
        <v>30</v>
      </c>
      <c r="D292" s="79" t="s">
        <v>10</v>
      </c>
      <c r="E292" s="79" t="s">
        <v>469</v>
      </c>
      <c r="F292" s="79" t="s">
        <v>24</v>
      </c>
      <c r="G292" s="70">
        <f>прил4.!G105</f>
        <v>0</v>
      </c>
      <c r="H292" s="70">
        <f>прил4.!H105</f>
        <v>140000</v>
      </c>
      <c r="I292" s="70">
        <f>прил4.!I105</f>
        <v>140000</v>
      </c>
      <c r="J292" s="137"/>
      <c r="K292" s="142"/>
      <c r="L292" s="142"/>
      <c r="M292" s="142"/>
      <c r="N292" s="142"/>
      <c r="O292" s="142"/>
      <c r="P292" s="142"/>
      <c r="Q292" s="142"/>
      <c r="R292" s="142"/>
      <c r="S292" s="1"/>
      <c r="T292" s="1"/>
    </row>
    <row r="293" spans="1:20" ht="26.25" customHeight="1" x14ac:dyDescent="0.25">
      <c r="A293" s="23" t="s">
        <v>32</v>
      </c>
      <c r="B293" s="14">
        <v>757</v>
      </c>
      <c r="C293" s="15" t="s">
        <v>30</v>
      </c>
      <c r="D293" s="15" t="s">
        <v>10</v>
      </c>
      <c r="E293" s="15" t="s">
        <v>116</v>
      </c>
      <c r="F293" s="14"/>
      <c r="G293" s="81">
        <f>G294</f>
        <v>121274709.53999999</v>
      </c>
      <c r="H293" s="81">
        <f t="shared" ref="H293:I293" si="121">H294</f>
        <v>125511328.51000001</v>
      </c>
      <c r="I293" s="81">
        <f t="shared" si="121"/>
        <v>130399930.01000001</v>
      </c>
    </row>
    <row r="294" spans="1:20" ht="25.5" customHeight="1" x14ac:dyDescent="0.25">
      <c r="A294" s="16" t="s">
        <v>21</v>
      </c>
      <c r="B294" s="14">
        <v>757</v>
      </c>
      <c r="C294" s="15" t="s">
        <v>30</v>
      </c>
      <c r="D294" s="15" t="s">
        <v>10</v>
      </c>
      <c r="E294" s="15" t="s">
        <v>116</v>
      </c>
      <c r="F294" s="15" t="s">
        <v>22</v>
      </c>
      <c r="G294" s="81">
        <f>G295+G296</f>
        <v>121274709.53999999</v>
      </c>
      <c r="H294" s="81">
        <f t="shared" ref="H294:I294" si="122">H295+H296</f>
        <v>125511328.51000001</v>
      </c>
      <c r="I294" s="81">
        <f t="shared" si="122"/>
        <v>130399930.01000001</v>
      </c>
    </row>
    <row r="295" spans="1:20" ht="25.5" customHeight="1" x14ac:dyDescent="0.25">
      <c r="A295" s="16" t="s">
        <v>23</v>
      </c>
      <c r="B295" s="14">
        <v>757</v>
      </c>
      <c r="C295" s="15" t="s">
        <v>30</v>
      </c>
      <c r="D295" s="15" t="s">
        <v>10</v>
      </c>
      <c r="E295" s="15" t="s">
        <v>116</v>
      </c>
      <c r="F295" s="15" t="s">
        <v>24</v>
      </c>
      <c r="G295" s="81">
        <f>прил4.!G60</f>
        <v>108041721.88</v>
      </c>
      <c r="H295" s="70">
        <f>прил4.!H60</f>
        <v>111724614.51000001</v>
      </c>
      <c r="I295" s="70">
        <f>прил4.!I60</f>
        <v>116231039.03</v>
      </c>
    </row>
    <row r="296" spans="1:20" ht="25.5" customHeight="1" x14ac:dyDescent="0.25">
      <c r="A296" s="78" t="s">
        <v>276</v>
      </c>
      <c r="B296" s="120">
        <v>757</v>
      </c>
      <c r="C296" s="79" t="s">
        <v>30</v>
      </c>
      <c r="D296" s="79" t="s">
        <v>10</v>
      </c>
      <c r="E296" s="79" t="s">
        <v>116</v>
      </c>
      <c r="F296" s="79" t="s">
        <v>275</v>
      </c>
      <c r="G296" s="81">
        <f>прил4.!G61</f>
        <v>13232987.66</v>
      </c>
      <c r="H296" s="81">
        <f>прил4.!H61</f>
        <v>13786714</v>
      </c>
      <c r="I296" s="81">
        <f>прил4.!I61</f>
        <v>14168890.98</v>
      </c>
      <c r="J296" s="138"/>
      <c r="K296" s="142"/>
      <c r="L296" s="142"/>
      <c r="M296" s="142"/>
      <c r="N296" s="142"/>
      <c r="O296" s="142"/>
      <c r="P296" s="142"/>
      <c r="Q296" s="142"/>
      <c r="R296" s="142"/>
      <c r="S296" s="1"/>
      <c r="T296" s="1"/>
    </row>
    <row r="297" spans="1:20" s="3" customFormat="1" ht="25.5" customHeight="1" x14ac:dyDescent="0.25">
      <c r="A297" s="24" t="s">
        <v>33</v>
      </c>
      <c r="B297" s="14">
        <v>757</v>
      </c>
      <c r="C297" s="15" t="s">
        <v>30</v>
      </c>
      <c r="D297" s="15" t="s">
        <v>10</v>
      </c>
      <c r="E297" s="15" t="s">
        <v>117</v>
      </c>
      <c r="F297" s="15"/>
      <c r="G297" s="81">
        <f>G298</f>
        <v>10750884.210000001</v>
      </c>
      <c r="H297" s="81">
        <f t="shared" ref="H297:I297" si="123">H298</f>
        <v>11277763.91</v>
      </c>
      <c r="I297" s="81">
        <f t="shared" si="123"/>
        <v>11629035</v>
      </c>
      <c r="J297" s="99"/>
      <c r="P297" s="99"/>
      <c r="Q297" s="99"/>
      <c r="R297" s="99"/>
      <c r="S297" s="99"/>
      <c r="T297" s="99"/>
    </row>
    <row r="298" spans="1:20" ht="25.5" customHeight="1" x14ac:dyDescent="0.25">
      <c r="A298" s="16" t="s">
        <v>21</v>
      </c>
      <c r="B298" s="14">
        <v>757</v>
      </c>
      <c r="C298" s="15" t="s">
        <v>30</v>
      </c>
      <c r="D298" s="15" t="s">
        <v>10</v>
      </c>
      <c r="E298" s="15" t="s">
        <v>117</v>
      </c>
      <c r="F298" s="15" t="s">
        <v>22</v>
      </c>
      <c r="G298" s="81">
        <f t="shared" ref="G298:I298" si="124">G299</f>
        <v>10750884.210000001</v>
      </c>
      <c r="H298" s="70">
        <f t="shared" si="124"/>
        <v>11277763.91</v>
      </c>
      <c r="I298" s="70">
        <f t="shared" si="124"/>
        <v>11629035</v>
      </c>
    </row>
    <row r="299" spans="1:20" ht="25.5" customHeight="1" x14ac:dyDescent="0.25">
      <c r="A299" s="16" t="s">
        <v>23</v>
      </c>
      <c r="B299" s="14">
        <v>757</v>
      </c>
      <c r="C299" s="15" t="s">
        <v>30</v>
      </c>
      <c r="D299" s="15" t="s">
        <v>10</v>
      </c>
      <c r="E299" s="15" t="s">
        <v>117</v>
      </c>
      <c r="F299" s="15" t="s">
        <v>24</v>
      </c>
      <c r="G299" s="81">
        <f>прил4.!G64</f>
        <v>10750884.210000001</v>
      </c>
      <c r="H299" s="70">
        <f>прил4.!H64</f>
        <v>11277763.91</v>
      </c>
      <c r="I299" s="70">
        <f>прил4.!I64</f>
        <v>11629035</v>
      </c>
    </row>
    <row r="300" spans="1:20" s="3" customFormat="1" ht="25.5" customHeight="1" x14ac:dyDescent="0.25">
      <c r="A300" s="26" t="s">
        <v>34</v>
      </c>
      <c r="B300" s="14">
        <v>757</v>
      </c>
      <c r="C300" s="15" t="s">
        <v>30</v>
      </c>
      <c r="D300" s="15" t="s">
        <v>10</v>
      </c>
      <c r="E300" s="15" t="s">
        <v>118</v>
      </c>
      <c r="F300" s="15"/>
      <c r="G300" s="81">
        <f>G301</f>
        <v>50580564.890000001</v>
      </c>
      <c r="H300" s="81">
        <f t="shared" ref="H300:I301" si="125">H301</f>
        <v>52080359.159999996</v>
      </c>
      <c r="I300" s="81">
        <f t="shared" si="125"/>
        <v>54204251.060000002</v>
      </c>
      <c r="J300" s="99"/>
      <c r="P300" s="99"/>
      <c r="Q300" s="99"/>
      <c r="R300" s="99"/>
      <c r="S300" s="99"/>
      <c r="T300" s="99"/>
    </row>
    <row r="301" spans="1:20" ht="25.5" customHeight="1" x14ac:dyDescent="0.25">
      <c r="A301" s="16" t="s">
        <v>21</v>
      </c>
      <c r="B301" s="14">
        <v>757</v>
      </c>
      <c r="C301" s="15" t="s">
        <v>30</v>
      </c>
      <c r="D301" s="15" t="s">
        <v>10</v>
      </c>
      <c r="E301" s="15" t="s">
        <v>118</v>
      </c>
      <c r="F301" s="15" t="s">
        <v>22</v>
      </c>
      <c r="G301" s="81">
        <f>G302</f>
        <v>50580564.890000001</v>
      </c>
      <c r="H301" s="81">
        <f t="shared" si="125"/>
        <v>52080359.159999996</v>
      </c>
      <c r="I301" s="81">
        <f t="shared" si="125"/>
        <v>54204251.060000002</v>
      </c>
    </row>
    <row r="302" spans="1:20" ht="25.5" customHeight="1" x14ac:dyDescent="0.25">
      <c r="A302" s="16" t="s">
        <v>23</v>
      </c>
      <c r="B302" s="14">
        <v>757</v>
      </c>
      <c r="C302" s="15" t="s">
        <v>30</v>
      </c>
      <c r="D302" s="15" t="s">
        <v>10</v>
      </c>
      <c r="E302" s="15" t="s">
        <v>118</v>
      </c>
      <c r="F302" s="15" t="s">
        <v>24</v>
      </c>
      <c r="G302" s="81">
        <f>прил4.!G67</f>
        <v>50580564.890000001</v>
      </c>
      <c r="H302" s="70">
        <f>прил4.!H67</f>
        <v>52080359.159999996</v>
      </c>
      <c r="I302" s="70">
        <f>прил4.!I67</f>
        <v>54204251.060000002</v>
      </c>
    </row>
    <row r="303" spans="1:20" s="28" customFormat="1" ht="25.5" customHeight="1" x14ac:dyDescent="0.25">
      <c r="A303" s="13" t="s">
        <v>55</v>
      </c>
      <c r="B303" s="14">
        <v>757</v>
      </c>
      <c r="C303" s="15" t="s">
        <v>30</v>
      </c>
      <c r="D303" s="15" t="s">
        <v>38</v>
      </c>
      <c r="E303" s="15" t="s">
        <v>121</v>
      </c>
      <c r="F303" s="15"/>
      <c r="G303" s="81">
        <f>G304+G306</f>
        <v>12369127.08</v>
      </c>
      <c r="H303" s="81">
        <f t="shared" ref="H303:I303" si="126">H304+H306</f>
        <v>12491934.109999999</v>
      </c>
      <c r="I303" s="81">
        <f t="shared" si="126"/>
        <v>12634425.389999999</v>
      </c>
      <c r="J303" s="97"/>
      <c r="P303" s="97"/>
      <c r="Q303" s="97"/>
      <c r="R303" s="97"/>
      <c r="S303" s="97"/>
      <c r="T303" s="97"/>
    </row>
    <row r="304" spans="1:20" s="32" customFormat="1" ht="58.5" customHeight="1" x14ac:dyDescent="0.25">
      <c r="A304" s="16" t="s">
        <v>39</v>
      </c>
      <c r="B304" s="14">
        <v>757</v>
      </c>
      <c r="C304" s="15" t="s">
        <v>30</v>
      </c>
      <c r="D304" s="15" t="s">
        <v>38</v>
      </c>
      <c r="E304" s="15" t="s">
        <v>121</v>
      </c>
      <c r="F304" s="15" t="s">
        <v>41</v>
      </c>
      <c r="G304" s="81">
        <f>G305</f>
        <v>12138376</v>
      </c>
      <c r="H304" s="81">
        <f>H305</f>
        <v>12251952.99</v>
      </c>
      <c r="I304" s="81">
        <f>I305</f>
        <v>12384845.02</v>
      </c>
      <c r="J304" s="31"/>
      <c r="P304" s="31"/>
      <c r="Q304" s="31"/>
      <c r="R304" s="31"/>
      <c r="S304" s="31"/>
      <c r="T304" s="31"/>
    </row>
    <row r="305" spans="1:20" s="32" customFormat="1" ht="26.4" x14ac:dyDescent="0.25">
      <c r="A305" s="16" t="s">
        <v>40</v>
      </c>
      <c r="B305" s="14">
        <v>757</v>
      </c>
      <c r="C305" s="15" t="s">
        <v>30</v>
      </c>
      <c r="D305" s="15" t="s">
        <v>38</v>
      </c>
      <c r="E305" s="15" t="s">
        <v>121</v>
      </c>
      <c r="F305" s="15" t="s">
        <v>42</v>
      </c>
      <c r="G305" s="81">
        <f>прил4.!G110</f>
        <v>12138376</v>
      </c>
      <c r="H305" s="81">
        <f>прил4.!H110</f>
        <v>12251952.99</v>
      </c>
      <c r="I305" s="81">
        <f>прил4.!I110</f>
        <v>12384845.02</v>
      </c>
      <c r="J305" s="31"/>
      <c r="P305" s="31"/>
      <c r="Q305" s="31"/>
      <c r="R305" s="31"/>
      <c r="S305" s="31"/>
      <c r="T305" s="31"/>
    </row>
    <row r="306" spans="1:20" s="32" customFormat="1" ht="28.5" customHeight="1" x14ac:dyDescent="0.25">
      <c r="A306" s="16" t="s">
        <v>25</v>
      </c>
      <c r="B306" s="14">
        <v>757</v>
      </c>
      <c r="C306" s="15" t="s">
        <v>30</v>
      </c>
      <c r="D306" s="15" t="s">
        <v>38</v>
      </c>
      <c r="E306" s="15" t="s">
        <v>121</v>
      </c>
      <c r="F306" s="15" t="s">
        <v>26</v>
      </c>
      <c r="G306" s="81">
        <f>G307</f>
        <v>230751.08</v>
      </c>
      <c r="H306" s="81">
        <f>H307</f>
        <v>239981.12</v>
      </c>
      <c r="I306" s="81">
        <f>I307</f>
        <v>249580.37</v>
      </c>
      <c r="J306" s="31"/>
      <c r="P306" s="31"/>
      <c r="Q306" s="31"/>
      <c r="R306" s="31"/>
      <c r="S306" s="31"/>
      <c r="T306" s="31"/>
    </row>
    <row r="307" spans="1:20" s="32" customFormat="1" ht="26.4" x14ac:dyDescent="0.25">
      <c r="A307" s="16" t="s">
        <v>27</v>
      </c>
      <c r="B307" s="14">
        <v>757</v>
      </c>
      <c r="C307" s="15" t="s">
        <v>30</v>
      </c>
      <c r="D307" s="15" t="s">
        <v>38</v>
      </c>
      <c r="E307" s="15" t="s">
        <v>121</v>
      </c>
      <c r="F307" s="15" t="s">
        <v>28</v>
      </c>
      <c r="G307" s="81">
        <f>прил4.!G112</f>
        <v>230751.08</v>
      </c>
      <c r="H307" s="81">
        <f>прил4.!H112</f>
        <v>239981.12</v>
      </c>
      <c r="I307" s="81">
        <f>прил4.!I112</f>
        <v>249580.37</v>
      </c>
      <c r="J307" s="31"/>
      <c r="P307" s="31"/>
      <c r="Q307" s="31"/>
      <c r="R307" s="31"/>
      <c r="S307" s="31"/>
      <c r="T307" s="31"/>
    </row>
    <row r="308" spans="1:20" s="32" customFormat="1" hidden="1" x14ac:dyDescent="0.25">
      <c r="A308" s="16" t="s">
        <v>43</v>
      </c>
      <c r="B308" s="14"/>
      <c r="C308" s="15"/>
      <c r="D308" s="15"/>
      <c r="E308" s="15" t="s">
        <v>121</v>
      </c>
      <c r="F308" s="15" t="s">
        <v>44</v>
      </c>
      <c r="G308" s="81" t="e">
        <f>G309</f>
        <v>#REF!</v>
      </c>
      <c r="H308" s="81" t="e">
        <f>H309</f>
        <v>#REF!</v>
      </c>
      <c r="I308" s="81" t="e">
        <f>I309</f>
        <v>#REF!</v>
      </c>
      <c r="J308" s="31"/>
      <c r="P308" s="31"/>
      <c r="Q308" s="31"/>
      <c r="R308" s="31"/>
      <c r="S308" s="31"/>
      <c r="T308" s="31"/>
    </row>
    <row r="309" spans="1:20" hidden="1" x14ac:dyDescent="0.25">
      <c r="A309" s="16" t="s">
        <v>45</v>
      </c>
      <c r="B309" s="14">
        <v>757</v>
      </c>
      <c r="C309" s="15" t="s">
        <v>30</v>
      </c>
      <c r="D309" s="15" t="s">
        <v>38</v>
      </c>
      <c r="E309" s="15" t="s">
        <v>121</v>
      </c>
      <c r="F309" s="15" t="s">
        <v>46</v>
      </c>
      <c r="G309" s="81" t="e">
        <f>прил4.!#REF!</f>
        <v>#REF!</v>
      </c>
      <c r="H309" s="81" t="e">
        <f>прил4.!#REF!</f>
        <v>#REF!</v>
      </c>
      <c r="I309" s="81" t="e">
        <f>прил4.!#REF!</f>
        <v>#REF!</v>
      </c>
    </row>
    <row r="310" spans="1:20" ht="79.2" hidden="1" x14ac:dyDescent="0.25">
      <c r="A310" s="16" t="s">
        <v>239</v>
      </c>
      <c r="B310" s="14">
        <v>757</v>
      </c>
      <c r="C310" s="15" t="s">
        <v>30</v>
      </c>
      <c r="D310" s="15" t="s">
        <v>10</v>
      </c>
      <c r="E310" s="15" t="s">
        <v>238</v>
      </c>
      <c r="F310" s="15"/>
      <c r="G310" s="81" t="e">
        <f>G311</f>
        <v>#REF!</v>
      </c>
      <c r="H310" s="81" t="e">
        <f>H311</f>
        <v>#REF!</v>
      </c>
      <c r="I310" s="81" t="e">
        <f>I311</f>
        <v>#REF!</v>
      </c>
    </row>
    <row r="311" spans="1:20" hidden="1" x14ac:dyDescent="0.25">
      <c r="A311" s="16" t="s">
        <v>23</v>
      </c>
      <c r="B311" s="14">
        <v>757</v>
      </c>
      <c r="C311" s="15" t="s">
        <v>30</v>
      </c>
      <c r="D311" s="15" t="s">
        <v>10</v>
      </c>
      <c r="E311" s="15" t="s">
        <v>238</v>
      </c>
      <c r="F311" s="15" t="s">
        <v>24</v>
      </c>
      <c r="G311" s="81" t="e">
        <f>прил4.!#REF!</f>
        <v>#REF!</v>
      </c>
      <c r="H311" s="81" t="e">
        <f>прил4.!#REF!</f>
        <v>#REF!</v>
      </c>
      <c r="I311" s="81" t="e">
        <f>прил4.!#REF!</f>
        <v>#REF!</v>
      </c>
    </row>
    <row r="312" spans="1:20" ht="45" hidden="1" customHeight="1" x14ac:dyDescent="0.25">
      <c r="A312" s="16" t="s">
        <v>272</v>
      </c>
      <c r="B312" s="15"/>
      <c r="C312" s="15"/>
      <c r="D312" s="15"/>
      <c r="E312" s="15" t="s">
        <v>267</v>
      </c>
      <c r="F312" s="15"/>
      <c r="G312" s="81" t="e">
        <f>G313</f>
        <v>#REF!</v>
      </c>
      <c r="H312" s="81">
        <v>0</v>
      </c>
      <c r="I312" s="81">
        <v>0</v>
      </c>
    </row>
    <row r="313" spans="1:20" ht="34.5" hidden="1" customHeight="1" x14ac:dyDescent="0.25">
      <c r="A313" s="16" t="s">
        <v>69</v>
      </c>
      <c r="B313" s="15"/>
      <c r="C313" s="15"/>
      <c r="D313" s="15"/>
      <c r="E313" s="15" t="s">
        <v>267</v>
      </c>
      <c r="F313" s="15" t="s">
        <v>215</v>
      </c>
      <c r="G313" s="81" t="e">
        <f>G314</f>
        <v>#REF!</v>
      </c>
      <c r="H313" s="81">
        <v>0</v>
      </c>
      <c r="I313" s="81">
        <v>0</v>
      </c>
    </row>
    <row r="314" spans="1:20" ht="68.25" hidden="1" customHeight="1" x14ac:dyDescent="0.25">
      <c r="A314" s="50" t="s">
        <v>244</v>
      </c>
      <c r="B314" s="15"/>
      <c r="C314" s="15"/>
      <c r="D314" s="15"/>
      <c r="E314" s="15" t="s">
        <v>267</v>
      </c>
      <c r="F314" s="15" t="s">
        <v>243</v>
      </c>
      <c r="G314" s="81" t="e">
        <f>прил4.!#REF!</f>
        <v>#REF!</v>
      </c>
      <c r="H314" s="81">
        <v>0</v>
      </c>
      <c r="I314" s="81">
        <v>0</v>
      </c>
    </row>
    <row r="315" spans="1:20" ht="49.5" hidden="1" customHeight="1" x14ac:dyDescent="0.25">
      <c r="A315" s="50" t="s">
        <v>273</v>
      </c>
      <c r="B315" s="15"/>
      <c r="C315" s="15"/>
      <c r="D315" s="15"/>
      <c r="E315" s="15" t="s">
        <v>268</v>
      </c>
      <c r="F315" s="15"/>
      <c r="G315" s="81">
        <f>G316</f>
        <v>0</v>
      </c>
      <c r="H315" s="81">
        <v>0</v>
      </c>
      <c r="I315" s="81">
        <v>0</v>
      </c>
    </row>
    <row r="316" spans="1:20" ht="39" hidden="1" customHeight="1" x14ac:dyDescent="0.25">
      <c r="A316" s="16" t="s">
        <v>69</v>
      </c>
      <c r="B316" s="15"/>
      <c r="C316" s="15"/>
      <c r="D316" s="15"/>
      <c r="E316" s="15" t="s">
        <v>268</v>
      </c>
      <c r="F316" s="15" t="s">
        <v>215</v>
      </c>
      <c r="G316" s="81">
        <f>G317</f>
        <v>0</v>
      </c>
      <c r="H316" s="81">
        <v>0</v>
      </c>
      <c r="I316" s="81">
        <v>0</v>
      </c>
    </row>
    <row r="317" spans="1:20" ht="50.25" hidden="1" customHeight="1" x14ac:dyDescent="0.25">
      <c r="A317" s="50" t="s">
        <v>244</v>
      </c>
      <c r="B317" s="15"/>
      <c r="C317" s="15"/>
      <c r="D317" s="15"/>
      <c r="E317" s="15" t="s">
        <v>269</v>
      </c>
      <c r="F317" s="15" t="s">
        <v>243</v>
      </c>
      <c r="G317" s="81"/>
      <c r="H317" s="81">
        <v>0</v>
      </c>
      <c r="I317" s="81">
        <v>0</v>
      </c>
    </row>
    <row r="318" spans="1:20" ht="29.25" customHeight="1" x14ac:dyDescent="0.25">
      <c r="A318" s="16" t="s">
        <v>281</v>
      </c>
      <c r="B318" s="15"/>
      <c r="C318" s="15"/>
      <c r="D318" s="15"/>
      <c r="E318" s="15" t="s">
        <v>292</v>
      </c>
      <c r="F318" s="15"/>
      <c r="G318" s="81">
        <f>G319</f>
        <v>50000</v>
      </c>
      <c r="H318" s="81">
        <f t="shared" ref="H318:I319" si="127">H319</f>
        <v>50000</v>
      </c>
      <c r="I318" s="81">
        <f t="shared" si="127"/>
        <v>50000</v>
      </c>
    </row>
    <row r="319" spans="1:20" ht="18.75" customHeight="1" x14ac:dyDescent="0.25">
      <c r="A319" s="50" t="s">
        <v>274</v>
      </c>
      <c r="B319" s="15"/>
      <c r="C319" s="15"/>
      <c r="D319" s="15"/>
      <c r="E319" s="15" t="s">
        <v>292</v>
      </c>
      <c r="F319" s="15" t="s">
        <v>26</v>
      </c>
      <c r="G319" s="81">
        <f>G320</f>
        <v>50000</v>
      </c>
      <c r="H319" s="81">
        <f t="shared" si="127"/>
        <v>50000</v>
      </c>
      <c r="I319" s="81">
        <f t="shared" si="127"/>
        <v>50000</v>
      </c>
    </row>
    <row r="320" spans="1:20" ht="27" customHeight="1" x14ac:dyDescent="0.25">
      <c r="A320" s="50" t="s">
        <v>27</v>
      </c>
      <c r="B320" s="15"/>
      <c r="C320" s="15"/>
      <c r="D320" s="15"/>
      <c r="E320" s="15" t="s">
        <v>292</v>
      </c>
      <c r="F320" s="15" t="s">
        <v>28</v>
      </c>
      <c r="G320" s="81">
        <f>прил4.!G464</f>
        <v>50000</v>
      </c>
      <c r="H320" s="81">
        <f>прил4.!H464</f>
        <v>50000</v>
      </c>
      <c r="I320" s="81">
        <f>прил4.!I464</f>
        <v>50000</v>
      </c>
    </row>
    <row r="321" spans="1:20" s="3" customFormat="1" ht="79.2" hidden="1" x14ac:dyDescent="0.25">
      <c r="A321" s="78" t="s">
        <v>467</v>
      </c>
      <c r="B321" s="120">
        <v>757</v>
      </c>
      <c r="C321" s="79" t="s">
        <v>30</v>
      </c>
      <c r="D321" s="79" t="s">
        <v>10</v>
      </c>
      <c r="E321" s="79" t="s">
        <v>466</v>
      </c>
      <c r="F321" s="79"/>
      <c r="G321" s="81">
        <f t="shared" ref="G321:I322" si="128">G322</f>
        <v>0</v>
      </c>
      <c r="H321" s="81">
        <f t="shared" si="128"/>
        <v>0</v>
      </c>
      <c r="I321" s="81">
        <f t="shared" si="128"/>
        <v>0</v>
      </c>
      <c r="J321" s="137"/>
      <c r="K321" s="153"/>
      <c r="L321" s="153"/>
      <c r="M321" s="153"/>
      <c r="N321" s="153"/>
      <c r="O321" s="153"/>
      <c r="P321" s="153"/>
      <c r="Q321" s="153"/>
      <c r="R321" s="153"/>
    </row>
    <row r="322" spans="1:20" s="3" customFormat="1" ht="26.4" hidden="1" x14ac:dyDescent="0.25">
      <c r="A322" s="78" t="s">
        <v>21</v>
      </c>
      <c r="B322" s="120">
        <v>757</v>
      </c>
      <c r="C322" s="79" t="s">
        <v>30</v>
      </c>
      <c r="D322" s="79" t="s">
        <v>10</v>
      </c>
      <c r="E322" s="79" t="s">
        <v>466</v>
      </c>
      <c r="F322" s="79" t="s">
        <v>22</v>
      </c>
      <c r="G322" s="81">
        <f t="shared" si="128"/>
        <v>0</v>
      </c>
      <c r="H322" s="81">
        <f t="shared" si="128"/>
        <v>0</v>
      </c>
      <c r="I322" s="81">
        <f t="shared" si="128"/>
        <v>0</v>
      </c>
      <c r="J322" s="137"/>
      <c r="K322" s="153"/>
      <c r="L322" s="153"/>
      <c r="M322" s="153"/>
      <c r="N322" s="153"/>
      <c r="O322" s="153"/>
      <c r="P322" s="153"/>
      <c r="Q322" s="153"/>
      <c r="R322" s="153"/>
    </row>
    <row r="323" spans="1:20" s="3" customFormat="1" hidden="1" x14ac:dyDescent="0.25">
      <c r="A323" s="78" t="s">
        <v>23</v>
      </c>
      <c r="B323" s="120">
        <v>757</v>
      </c>
      <c r="C323" s="79" t="s">
        <v>30</v>
      </c>
      <c r="D323" s="79" t="s">
        <v>10</v>
      </c>
      <c r="E323" s="79" t="s">
        <v>466</v>
      </c>
      <c r="F323" s="79" t="s">
        <v>24</v>
      </c>
      <c r="G323" s="81"/>
      <c r="H323" s="81"/>
      <c r="I323" s="81"/>
      <c r="J323" s="137" t="e">
        <f>G323+#REF!</f>
        <v>#REF!</v>
      </c>
      <c r="K323" s="153"/>
      <c r="L323" s="153"/>
      <c r="M323" s="153"/>
      <c r="N323" s="153"/>
      <c r="O323" s="153"/>
      <c r="P323" s="153"/>
      <c r="Q323" s="153"/>
      <c r="R323" s="153"/>
    </row>
    <row r="324" spans="1:20" ht="37.5" hidden="1" customHeight="1" x14ac:dyDescent="0.25">
      <c r="A324" s="16" t="s">
        <v>105</v>
      </c>
      <c r="B324" s="14">
        <v>757</v>
      </c>
      <c r="C324" s="15" t="s">
        <v>30</v>
      </c>
      <c r="D324" s="15" t="s">
        <v>10</v>
      </c>
      <c r="E324" s="15" t="s">
        <v>104</v>
      </c>
      <c r="F324" s="15"/>
      <c r="G324" s="70">
        <f>G325</f>
        <v>0</v>
      </c>
      <c r="H324" s="70">
        <f t="shared" ref="H324:I325" si="129">H325</f>
        <v>0</v>
      </c>
      <c r="I324" s="70">
        <f t="shared" si="129"/>
        <v>0</v>
      </c>
      <c r="J324" s="1"/>
    </row>
    <row r="325" spans="1:20" ht="26.4" hidden="1" x14ac:dyDescent="0.25">
      <c r="A325" s="16" t="s">
        <v>21</v>
      </c>
      <c r="B325" s="14">
        <v>757</v>
      </c>
      <c r="C325" s="15" t="s">
        <v>30</v>
      </c>
      <c r="D325" s="15" t="s">
        <v>10</v>
      </c>
      <c r="E325" s="15" t="s">
        <v>104</v>
      </c>
      <c r="F325" s="15" t="s">
        <v>22</v>
      </c>
      <c r="G325" s="70">
        <f>G326</f>
        <v>0</v>
      </c>
      <c r="H325" s="70">
        <f t="shared" si="129"/>
        <v>0</v>
      </c>
      <c r="I325" s="70">
        <f t="shared" si="129"/>
        <v>0</v>
      </c>
      <c r="J325" s="1"/>
    </row>
    <row r="326" spans="1:20" hidden="1" x14ac:dyDescent="0.25">
      <c r="A326" s="16" t="s">
        <v>23</v>
      </c>
      <c r="B326" s="14">
        <v>757</v>
      </c>
      <c r="C326" s="15" t="s">
        <v>30</v>
      </c>
      <c r="D326" s="15" t="s">
        <v>10</v>
      </c>
      <c r="E326" s="15" t="s">
        <v>104</v>
      </c>
      <c r="F326" s="15" t="s">
        <v>24</v>
      </c>
      <c r="G326" s="70">
        <f>прил4.!G82</f>
        <v>0</v>
      </c>
      <c r="H326" s="70">
        <f>прил4.!H82</f>
        <v>0</v>
      </c>
      <c r="I326" s="70">
        <f>прил4.!I82</f>
        <v>0</v>
      </c>
      <c r="J326" s="1"/>
    </row>
    <row r="327" spans="1:20" s="75" customFormat="1" ht="40.200000000000003" customHeight="1" x14ac:dyDescent="0.25">
      <c r="A327" s="216" t="s">
        <v>366</v>
      </c>
      <c r="B327" s="35">
        <v>757</v>
      </c>
      <c r="C327" s="36" t="s">
        <v>51</v>
      </c>
      <c r="D327" s="36" t="s">
        <v>19</v>
      </c>
      <c r="E327" s="36" t="s">
        <v>113</v>
      </c>
      <c r="F327" s="36"/>
      <c r="G327" s="71">
        <f>G328</f>
        <v>315500</v>
      </c>
      <c r="H327" s="71">
        <f t="shared" ref="H327:I327" si="130">H328</f>
        <v>329500</v>
      </c>
      <c r="I327" s="71">
        <f t="shared" si="130"/>
        <v>343500</v>
      </c>
      <c r="J327" s="177">
        <v>18813863</v>
      </c>
      <c r="P327" s="177"/>
      <c r="Q327" s="177"/>
      <c r="R327" s="177"/>
      <c r="S327" s="177"/>
      <c r="T327" s="177">
        <f>прил4.!G121</f>
        <v>315500</v>
      </c>
    </row>
    <row r="328" spans="1:20" s="28" customFormat="1" ht="27.75" customHeight="1" x14ac:dyDescent="0.25">
      <c r="A328" s="37" t="s">
        <v>52</v>
      </c>
      <c r="B328" s="14">
        <v>757</v>
      </c>
      <c r="C328" s="15" t="s">
        <v>51</v>
      </c>
      <c r="D328" s="15" t="s">
        <v>19</v>
      </c>
      <c r="E328" s="15" t="s">
        <v>123</v>
      </c>
      <c r="F328" s="15"/>
      <c r="G328" s="70">
        <f t="shared" ref="G328:I329" si="131">G329</f>
        <v>315500</v>
      </c>
      <c r="H328" s="70">
        <f t="shared" si="131"/>
        <v>329500</v>
      </c>
      <c r="I328" s="70">
        <f t="shared" si="131"/>
        <v>343500</v>
      </c>
      <c r="J328" s="97">
        <v>419925</v>
      </c>
      <c r="P328" s="97"/>
      <c r="Q328" s="97"/>
      <c r="R328" s="97"/>
      <c r="S328" s="97"/>
      <c r="T328" s="97"/>
    </row>
    <row r="329" spans="1:20" s="32" customFormat="1" ht="28.5" customHeight="1" x14ac:dyDescent="0.25">
      <c r="A329" s="16" t="s">
        <v>25</v>
      </c>
      <c r="B329" s="14">
        <v>757</v>
      </c>
      <c r="C329" s="15" t="s">
        <v>51</v>
      </c>
      <c r="D329" s="15" t="s">
        <v>19</v>
      </c>
      <c r="E329" s="15" t="s">
        <v>123</v>
      </c>
      <c r="F329" s="15" t="s">
        <v>26</v>
      </c>
      <c r="G329" s="70">
        <f t="shared" si="131"/>
        <v>315500</v>
      </c>
      <c r="H329" s="70">
        <f t="shared" si="131"/>
        <v>329500</v>
      </c>
      <c r="I329" s="70">
        <f t="shared" si="131"/>
        <v>343500</v>
      </c>
      <c r="J329" s="31">
        <f>SUM(J327:J328)</f>
        <v>19233788</v>
      </c>
      <c r="P329" s="31"/>
      <c r="Q329" s="31"/>
      <c r="R329" s="31"/>
      <c r="S329" s="31"/>
      <c r="T329" s="31"/>
    </row>
    <row r="330" spans="1:20" s="32" customFormat="1" ht="26.4" x14ac:dyDescent="0.25">
      <c r="A330" s="16" t="s">
        <v>27</v>
      </c>
      <c r="B330" s="14">
        <v>757</v>
      </c>
      <c r="C330" s="15" t="s">
        <v>51</v>
      </c>
      <c r="D330" s="15" t="s">
        <v>19</v>
      </c>
      <c r="E330" s="15" t="s">
        <v>123</v>
      </c>
      <c r="F330" s="15" t="s">
        <v>28</v>
      </c>
      <c r="G330" s="70">
        <f>прил4.!G124</f>
        <v>315500</v>
      </c>
      <c r="H330" s="70">
        <f>прил4.!H124</f>
        <v>329500</v>
      </c>
      <c r="I330" s="70">
        <f>прил4.!I124</f>
        <v>343500</v>
      </c>
      <c r="J330" s="31"/>
      <c r="P330" s="31"/>
      <c r="Q330" s="31"/>
      <c r="R330" s="31"/>
      <c r="S330" s="31"/>
      <c r="T330" s="31"/>
    </row>
    <row r="331" spans="1:20" s="22" customFormat="1" ht="51.75" customHeight="1" x14ac:dyDescent="0.25">
      <c r="A331" s="96" t="s">
        <v>367</v>
      </c>
      <c r="B331" s="35">
        <v>793</v>
      </c>
      <c r="C331" s="36" t="s">
        <v>38</v>
      </c>
      <c r="D331" s="36" t="s">
        <v>64</v>
      </c>
      <c r="E331" s="35" t="s">
        <v>165</v>
      </c>
      <c r="F331" s="35"/>
      <c r="G331" s="71">
        <f>G332</f>
        <v>0</v>
      </c>
      <c r="H331" s="71">
        <f t="shared" ref="H331:I331" si="132">H332</f>
        <v>50000</v>
      </c>
      <c r="I331" s="71">
        <f t="shared" si="132"/>
        <v>50000</v>
      </c>
      <c r="J331" s="21">
        <v>280000</v>
      </c>
      <c r="P331" s="219"/>
      <c r="Q331" s="21"/>
      <c r="R331" s="21"/>
      <c r="S331" s="21"/>
      <c r="T331" s="21">
        <f>прил4.!G545</f>
        <v>0</v>
      </c>
    </row>
    <row r="332" spans="1:20" ht="39" customHeight="1" x14ac:dyDescent="0.25">
      <c r="A332" s="16" t="s">
        <v>477</v>
      </c>
      <c r="B332" s="14">
        <v>793</v>
      </c>
      <c r="C332" s="15" t="s">
        <v>38</v>
      </c>
      <c r="D332" s="15" t="s">
        <v>64</v>
      </c>
      <c r="E332" s="14" t="s">
        <v>166</v>
      </c>
      <c r="F332" s="14"/>
      <c r="G332" s="81">
        <f>G333</f>
        <v>0</v>
      </c>
      <c r="H332" s="81">
        <f t="shared" ref="H332:I333" si="133">H333</f>
        <v>50000</v>
      </c>
      <c r="I332" s="81">
        <f t="shared" si="133"/>
        <v>50000</v>
      </c>
    </row>
    <row r="333" spans="1:20" ht="27.75" customHeight="1" x14ac:dyDescent="0.25">
      <c r="A333" s="16" t="s">
        <v>199</v>
      </c>
      <c r="B333" s="14">
        <v>793</v>
      </c>
      <c r="C333" s="15" t="s">
        <v>38</v>
      </c>
      <c r="D333" s="15" t="s">
        <v>64</v>
      </c>
      <c r="E333" s="14" t="s">
        <v>166</v>
      </c>
      <c r="F333" s="14">
        <v>200</v>
      </c>
      <c r="G333" s="81">
        <f>G334</f>
        <v>0</v>
      </c>
      <c r="H333" s="81">
        <f t="shared" si="133"/>
        <v>50000</v>
      </c>
      <c r="I333" s="81">
        <f t="shared" si="133"/>
        <v>50000</v>
      </c>
    </row>
    <row r="334" spans="1:20" ht="27.75" customHeight="1" x14ac:dyDescent="0.25">
      <c r="A334" s="16" t="s">
        <v>27</v>
      </c>
      <c r="B334" s="14">
        <v>793</v>
      </c>
      <c r="C334" s="15" t="s">
        <v>38</v>
      </c>
      <c r="D334" s="15" t="s">
        <v>64</v>
      </c>
      <c r="E334" s="14" t="s">
        <v>166</v>
      </c>
      <c r="F334" s="14">
        <v>240</v>
      </c>
      <c r="G334" s="81">
        <f>прил4.!G548</f>
        <v>0</v>
      </c>
      <c r="H334" s="81">
        <f>прил4.!H548</f>
        <v>50000</v>
      </c>
      <c r="I334" s="81">
        <f>прил4.!I548</f>
        <v>50000</v>
      </c>
    </row>
    <row r="335" spans="1:20" s="175" customFormat="1" ht="35.25" customHeight="1" x14ac:dyDescent="0.25">
      <c r="A335" s="96" t="s">
        <v>368</v>
      </c>
      <c r="B335" s="35">
        <v>757</v>
      </c>
      <c r="C335" s="36" t="s">
        <v>17</v>
      </c>
      <c r="D335" s="36" t="s">
        <v>17</v>
      </c>
      <c r="E335" s="36" t="s">
        <v>114</v>
      </c>
      <c r="F335" s="36"/>
      <c r="G335" s="71">
        <f>G336</f>
        <v>216500</v>
      </c>
      <c r="H335" s="71">
        <f t="shared" ref="H335:I335" si="134">H336</f>
        <v>225160</v>
      </c>
      <c r="I335" s="71">
        <f t="shared" si="134"/>
        <v>234500</v>
      </c>
      <c r="J335" s="174">
        <v>30000</v>
      </c>
      <c r="P335" s="174"/>
      <c r="Q335" s="174"/>
      <c r="R335" s="174"/>
      <c r="S335" s="174"/>
      <c r="T335" s="174">
        <f>прил4.!G45</f>
        <v>216500</v>
      </c>
    </row>
    <row r="336" spans="1:20" s="18" customFormat="1" x14ac:dyDescent="0.25">
      <c r="A336" s="16" t="s">
        <v>209</v>
      </c>
      <c r="B336" s="14">
        <v>757</v>
      </c>
      <c r="C336" s="15" t="s">
        <v>17</v>
      </c>
      <c r="D336" s="15" t="s">
        <v>17</v>
      </c>
      <c r="E336" s="15" t="s">
        <v>115</v>
      </c>
      <c r="F336" s="15"/>
      <c r="G336" s="81">
        <f>G337</f>
        <v>216500</v>
      </c>
      <c r="H336" s="81">
        <f t="shared" ref="H336:I336" si="135">H337</f>
        <v>225160</v>
      </c>
      <c r="I336" s="81">
        <f t="shared" si="135"/>
        <v>234500</v>
      </c>
      <c r="J336" s="17">
        <v>100000</v>
      </c>
      <c r="P336" s="17"/>
      <c r="Q336" s="17"/>
      <c r="R336" s="17"/>
      <c r="S336" s="17"/>
      <c r="T336" s="17"/>
    </row>
    <row r="337" spans="1:21" s="18" customFormat="1" ht="26.4" x14ac:dyDescent="0.25">
      <c r="A337" s="16" t="s">
        <v>25</v>
      </c>
      <c r="B337" s="14">
        <v>757</v>
      </c>
      <c r="C337" s="15" t="s">
        <v>17</v>
      </c>
      <c r="D337" s="15" t="s">
        <v>17</v>
      </c>
      <c r="E337" s="15" t="s">
        <v>115</v>
      </c>
      <c r="F337" s="15" t="s">
        <v>26</v>
      </c>
      <c r="G337" s="81">
        <f>G338</f>
        <v>216500</v>
      </c>
      <c r="H337" s="81">
        <f>H338</f>
        <v>225160</v>
      </c>
      <c r="I337" s="81">
        <f>I338</f>
        <v>234500</v>
      </c>
      <c r="J337" s="17"/>
      <c r="P337" s="17"/>
      <c r="Q337" s="17"/>
      <c r="R337" s="17"/>
      <c r="S337" s="17"/>
      <c r="T337" s="17"/>
    </row>
    <row r="338" spans="1:21" s="18" customFormat="1" ht="26.4" x14ac:dyDescent="0.25">
      <c r="A338" s="16" t="s">
        <v>27</v>
      </c>
      <c r="B338" s="14">
        <v>757</v>
      </c>
      <c r="C338" s="15" t="s">
        <v>17</v>
      </c>
      <c r="D338" s="15" t="s">
        <v>17</v>
      </c>
      <c r="E338" s="15" t="s">
        <v>115</v>
      </c>
      <c r="F338" s="15" t="s">
        <v>28</v>
      </c>
      <c r="G338" s="81">
        <f>прил4.!G48</f>
        <v>216500</v>
      </c>
      <c r="H338" s="81">
        <f>прил4.!H48</f>
        <v>225160</v>
      </c>
      <c r="I338" s="81">
        <f>прил4.!I48</f>
        <v>234500</v>
      </c>
      <c r="J338" s="81" t="e">
        <f>прил4.!#REF!+прил4.!#REF!</f>
        <v>#REF!</v>
      </c>
      <c r="K338" s="81" t="e">
        <f>прил4.!#REF!+прил4.!#REF!</f>
        <v>#REF!</v>
      </c>
      <c r="L338" s="81" t="e">
        <f>прил4.!#REF!+прил4.!#REF!</f>
        <v>#REF!</v>
      </c>
      <c r="M338" s="81" t="e">
        <f>прил4.!#REF!+прил4.!#REF!</f>
        <v>#REF!</v>
      </c>
      <c r="N338" s="81" t="e">
        <f>прил4.!#REF!+прил4.!#REF!</f>
        <v>#REF!</v>
      </c>
      <c r="O338" s="81" t="e">
        <f>прил4.!#REF!+прил4.!#REF!</f>
        <v>#REF!</v>
      </c>
      <c r="P338" s="17"/>
      <c r="Q338" s="17"/>
      <c r="R338" s="17"/>
      <c r="S338" s="17"/>
      <c r="T338" s="17"/>
    </row>
    <row r="339" spans="1:21" s="22" customFormat="1" ht="52.8" x14ac:dyDescent="0.25">
      <c r="A339" s="96" t="s">
        <v>369</v>
      </c>
      <c r="B339" s="35">
        <v>793</v>
      </c>
      <c r="C339" s="36" t="s">
        <v>49</v>
      </c>
      <c r="D339" s="36" t="s">
        <v>196</v>
      </c>
      <c r="E339" s="36" t="s">
        <v>161</v>
      </c>
      <c r="F339" s="36"/>
      <c r="G339" s="71">
        <f>G340</f>
        <v>100000</v>
      </c>
      <c r="H339" s="71">
        <f t="shared" ref="H339:I339" si="136">H340</f>
        <v>212364</v>
      </c>
      <c r="I339" s="71">
        <f t="shared" si="136"/>
        <v>212364</v>
      </c>
      <c r="J339" s="21">
        <v>100000</v>
      </c>
      <c r="P339" s="21"/>
      <c r="Q339" s="21"/>
      <c r="R339" s="21"/>
      <c r="S339" s="21"/>
      <c r="T339" s="21">
        <f>прил4.!G516</f>
        <v>100000</v>
      </c>
    </row>
    <row r="340" spans="1:21" ht="52.8" x14ac:dyDescent="0.25">
      <c r="A340" s="16" t="s">
        <v>264</v>
      </c>
      <c r="B340" s="14">
        <v>793</v>
      </c>
      <c r="C340" s="15" t="s">
        <v>49</v>
      </c>
      <c r="D340" s="15" t="s">
        <v>196</v>
      </c>
      <c r="E340" s="15" t="s">
        <v>162</v>
      </c>
      <c r="F340" s="15"/>
      <c r="G340" s="81">
        <f t="shared" ref="G340:I341" si="137">G341</f>
        <v>100000</v>
      </c>
      <c r="H340" s="81">
        <f t="shared" si="137"/>
        <v>212364</v>
      </c>
      <c r="I340" s="81">
        <f t="shared" si="137"/>
        <v>212364</v>
      </c>
    </row>
    <row r="341" spans="1:21" ht="26.4" x14ac:dyDescent="0.25">
      <c r="A341" s="16" t="s">
        <v>27</v>
      </c>
      <c r="B341" s="14">
        <v>793</v>
      </c>
      <c r="C341" s="15" t="s">
        <v>49</v>
      </c>
      <c r="D341" s="15" t="s">
        <v>196</v>
      </c>
      <c r="E341" s="15" t="s">
        <v>162</v>
      </c>
      <c r="F341" s="15" t="s">
        <v>26</v>
      </c>
      <c r="G341" s="81">
        <f t="shared" si="137"/>
        <v>100000</v>
      </c>
      <c r="H341" s="81">
        <f t="shared" si="137"/>
        <v>212364</v>
      </c>
      <c r="I341" s="81">
        <f t="shared" si="137"/>
        <v>212364</v>
      </c>
    </row>
    <row r="342" spans="1:21" ht="33" customHeight="1" x14ac:dyDescent="0.25">
      <c r="A342" s="16" t="s">
        <v>27</v>
      </c>
      <c r="B342" s="14">
        <v>793</v>
      </c>
      <c r="C342" s="15" t="s">
        <v>49</v>
      </c>
      <c r="D342" s="15" t="s">
        <v>196</v>
      </c>
      <c r="E342" s="15" t="s">
        <v>162</v>
      </c>
      <c r="F342" s="15" t="s">
        <v>28</v>
      </c>
      <c r="G342" s="81">
        <f>прил4.!G519</f>
        <v>100000</v>
      </c>
      <c r="H342" s="81">
        <f>прил4.!H519</f>
        <v>212364</v>
      </c>
      <c r="I342" s="81">
        <f>прил4.!I519</f>
        <v>212364</v>
      </c>
    </row>
    <row r="343" spans="1:21" s="22" customFormat="1" ht="39.6" x14ac:dyDescent="0.25">
      <c r="A343" s="96" t="s">
        <v>370</v>
      </c>
      <c r="B343" s="35">
        <v>793</v>
      </c>
      <c r="C343" s="36" t="s">
        <v>49</v>
      </c>
      <c r="D343" s="36" t="s">
        <v>196</v>
      </c>
      <c r="E343" s="36" t="s">
        <v>163</v>
      </c>
      <c r="F343" s="36"/>
      <c r="G343" s="71">
        <f>G344</f>
        <v>278500</v>
      </c>
      <c r="H343" s="71">
        <f>H346+H347</f>
        <v>278500</v>
      </c>
      <c r="I343" s="71">
        <f>I346+I347</f>
        <v>278500</v>
      </c>
      <c r="J343" s="21">
        <v>100000</v>
      </c>
      <c r="P343" s="21"/>
      <c r="Q343" s="21"/>
      <c r="R343" s="21"/>
      <c r="S343" s="21"/>
      <c r="T343" s="21">
        <f>прил4.!G521+прил4.!G167</f>
        <v>278500</v>
      </c>
      <c r="U343" s="21">
        <f>T343-G343</f>
        <v>0</v>
      </c>
    </row>
    <row r="344" spans="1:21" ht="39.6" x14ac:dyDescent="0.25">
      <c r="A344" s="16" t="s">
        <v>208</v>
      </c>
      <c r="B344" s="14">
        <v>793</v>
      </c>
      <c r="C344" s="15" t="s">
        <v>49</v>
      </c>
      <c r="D344" s="15" t="s">
        <v>196</v>
      </c>
      <c r="E344" s="15" t="s">
        <v>164</v>
      </c>
      <c r="F344" s="15"/>
      <c r="G344" s="81">
        <f>G345+G347</f>
        <v>278500</v>
      </c>
      <c r="H344" s="81">
        <f t="shared" ref="H344:I344" si="138">H345+H347</f>
        <v>278500</v>
      </c>
      <c r="I344" s="81">
        <f t="shared" si="138"/>
        <v>278500</v>
      </c>
      <c r="J344" s="2">
        <v>75000</v>
      </c>
    </row>
    <row r="345" spans="1:21" ht="26.4" x14ac:dyDescent="0.25">
      <c r="A345" s="16" t="s">
        <v>27</v>
      </c>
      <c r="B345" s="14">
        <v>793</v>
      </c>
      <c r="C345" s="15" t="s">
        <v>49</v>
      </c>
      <c r="D345" s="15" t="s">
        <v>196</v>
      </c>
      <c r="E345" s="15" t="s">
        <v>164</v>
      </c>
      <c r="F345" s="15" t="s">
        <v>26</v>
      </c>
      <c r="G345" s="81">
        <f>G346</f>
        <v>78500</v>
      </c>
      <c r="H345" s="81">
        <f t="shared" ref="H345:I345" si="139">H346</f>
        <v>78500</v>
      </c>
      <c r="I345" s="81">
        <f t="shared" si="139"/>
        <v>78500</v>
      </c>
    </row>
    <row r="346" spans="1:21" ht="31.5" customHeight="1" x14ac:dyDescent="0.25">
      <c r="A346" s="16" t="s">
        <v>27</v>
      </c>
      <c r="B346" s="14">
        <v>793</v>
      </c>
      <c r="C346" s="15" t="s">
        <v>49</v>
      </c>
      <c r="D346" s="15" t="s">
        <v>196</v>
      </c>
      <c r="E346" s="15" t="s">
        <v>164</v>
      </c>
      <c r="F346" s="15" t="s">
        <v>28</v>
      </c>
      <c r="G346" s="81">
        <f>прил4.!G523</f>
        <v>78500</v>
      </c>
      <c r="H346" s="81">
        <f>прил4.!H523</f>
        <v>78500</v>
      </c>
      <c r="I346" s="81">
        <f>прил4.!I523</f>
        <v>78500</v>
      </c>
    </row>
    <row r="347" spans="1:21" s="18" customFormat="1" ht="26.4" x14ac:dyDescent="0.25">
      <c r="A347" s="16" t="s">
        <v>21</v>
      </c>
      <c r="B347" s="14">
        <v>774</v>
      </c>
      <c r="C347" s="15" t="s">
        <v>49</v>
      </c>
      <c r="D347" s="15" t="s">
        <v>196</v>
      </c>
      <c r="E347" s="15" t="s">
        <v>164</v>
      </c>
      <c r="F347" s="15" t="s">
        <v>22</v>
      </c>
      <c r="G347" s="70">
        <f t="shared" ref="G347:I347" si="140">G348</f>
        <v>200000</v>
      </c>
      <c r="H347" s="70">
        <f t="shared" si="140"/>
        <v>200000</v>
      </c>
      <c r="I347" s="70">
        <f t="shared" si="140"/>
        <v>200000</v>
      </c>
      <c r="P347" s="17"/>
      <c r="Q347" s="17"/>
      <c r="R347" s="17"/>
      <c r="S347" s="17"/>
      <c r="T347" s="17"/>
    </row>
    <row r="348" spans="1:21" s="18" customFormat="1" x14ac:dyDescent="0.25">
      <c r="A348" s="16" t="s">
        <v>23</v>
      </c>
      <c r="B348" s="14">
        <v>774</v>
      </c>
      <c r="C348" s="15" t="s">
        <v>49</v>
      </c>
      <c r="D348" s="15" t="s">
        <v>196</v>
      </c>
      <c r="E348" s="15" t="s">
        <v>164</v>
      </c>
      <c r="F348" s="15" t="s">
        <v>24</v>
      </c>
      <c r="G348" s="70">
        <f>прил4.!G170</f>
        <v>200000</v>
      </c>
      <c r="H348" s="70">
        <f>прил4.!H170</f>
        <v>200000</v>
      </c>
      <c r="I348" s="70">
        <f>прил4.!I170</f>
        <v>200000</v>
      </c>
      <c r="L348" s="17"/>
      <c r="P348" s="17"/>
      <c r="Q348" s="17"/>
      <c r="R348" s="17"/>
      <c r="S348" s="17"/>
      <c r="T348" s="17"/>
    </row>
    <row r="349" spans="1:21" s="75" customFormat="1" ht="45" customHeight="1" x14ac:dyDescent="0.25">
      <c r="A349" s="96" t="s">
        <v>371</v>
      </c>
      <c r="B349" s="35">
        <v>792</v>
      </c>
      <c r="C349" s="36" t="s">
        <v>10</v>
      </c>
      <c r="D349" s="36" t="s">
        <v>38</v>
      </c>
      <c r="E349" s="36" t="s">
        <v>143</v>
      </c>
      <c r="F349" s="74"/>
      <c r="G349" s="71">
        <f>G350+G358</f>
        <v>29410774.5</v>
      </c>
      <c r="H349" s="71">
        <f t="shared" ref="H349:I349" si="141">H350+H358</f>
        <v>40954622.68</v>
      </c>
      <c r="I349" s="71">
        <f t="shared" si="141"/>
        <v>45792841.560000002</v>
      </c>
      <c r="J349" s="177">
        <v>1012500</v>
      </c>
      <c r="P349" s="135"/>
      <c r="Q349" s="177"/>
      <c r="R349" s="177"/>
      <c r="S349" s="177"/>
      <c r="T349" s="177">
        <f>прил4.!G352+прил4.!G374</f>
        <v>15881178.440000001</v>
      </c>
    </row>
    <row r="350" spans="1:21" s="46" customFormat="1" ht="51" customHeight="1" x14ac:dyDescent="0.25">
      <c r="A350" s="16" t="s">
        <v>383</v>
      </c>
      <c r="B350" s="14">
        <v>792</v>
      </c>
      <c r="C350" s="15" t="s">
        <v>10</v>
      </c>
      <c r="D350" s="15" t="s">
        <v>92</v>
      </c>
      <c r="E350" s="15" t="s">
        <v>144</v>
      </c>
      <c r="F350" s="15"/>
      <c r="G350" s="81">
        <f>G351</f>
        <v>15823479.810000001</v>
      </c>
      <c r="H350" s="81">
        <f t="shared" ref="H350:I350" si="142">H351</f>
        <v>16015032</v>
      </c>
      <c r="I350" s="81">
        <f t="shared" si="142"/>
        <v>16212018</v>
      </c>
      <c r="J350" s="98">
        <v>11992167</v>
      </c>
      <c r="P350" s="98"/>
      <c r="Q350" s="98"/>
      <c r="R350" s="98"/>
      <c r="S350" s="98"/>
      <c r="T350" s="98"/>
    </row>
    <row r="351" spans="1:21" s="46" customFormat="1" ht="34.5" customHeight="1" x14ac:dyDescent="0.25">
      <c r="A351" s="16" t="s">
        <v>55</v>
      </c>
      <c r="B351" s="14">
        <v>792</v>
      </c>
      <c r="C351" s="15" t="s">
        <v>10</v>
      </c>
      <c r="D351" s="15" t="s">
        <v>92</v>
      </c>
      <c r="E351" s="15" t="s">
        <v>145</v>
      </c>
      <c r="F351" s="15"/>
      <c r="G351" s="81">
        <f>G352+G354+G356</f>
        <v>15823479.810000001</v>
      </c>
      <c r="H351" s="81">
        <f t="shared" ref="H351:I351" si="143">H352+H354+H356</f>
        <v>16015032</v>
      </c>
      <c r="I351" s="81">
        <f t="shared" si="143"/>
        <v>16212018</v>
      </c>
      <c r="J351" s="98">
        <v>967059</v>
      </c>
      <c r="P351" s="98"/>
      <c r="Q351" s="98"/>
      <c r="R351" s="98"/>
      <c r="S351" s="98"/>
      <c r="T351" s="98"/>
    </row>
    <row r="352" spans="1:21" s="46" customFormat="1" ht="52.8" x14ac:dyDescent="0.25">
      <c r="A352" s="16" t="s">
        <v>39</v>
      </c>
      <c r="B352" s="14">
        <v>792</v>
      </c>
      <c r="C352" s="15" t="s">
        <v>10</v>
      </c>
      <c r="D352" s="15" t="s">
        <v>92</v>
      </c>
      <c r="E352" s="15" t="s">
        <v>145</v>
      </c>
      <c r="F352" s="15" t="s">
        <v>41</v>
      </c>
      <c r="G352" s="81">
        <f>G353</f>
        <v>14684467</v>
      </c>
      <c r="H352" s="81">
        <f>H353</f>
        <v>14830007</v>
      </c>
      <c r="I352" s="81">
        <f>I353</f>
        <v>14976993</v>
      </c>
      <c r="J352" s="98">
        <v>26000</v>
      </c>
      <c r="P352" s="98"/>
      <c r="Q352" s="98"/>
      <c r="R352" s="98"/>
      <c r="S352" s="98"/>
      <c r="T352" s="98"/>
    </row>
    <row r="353" spans="1:21" s="46" customFormat="1" ht="26.4" x14ac:dyDescent="0.25">
      <c r="A353" s="16" t="s">
        <v>40</v>
      </c>
      <c r="B353" s="14">
        <v>792</v>
      </c>
      <c r="C353" s="15" t="s">
        <v>10</v>
      </c>
      <c r="D353" s="15" t="s">
        <v>92</v>
      </c>
      <c r="E353" s="15" t="s">
        <v>145</v>
      </c>
      <c r="F353" s="15" t="s">
        <v>42</v>
      </c>
      <c r="G353" s="81">
        <f>прил4.!G356</f>
        <v>14684467</v>
      </c>
      <c r="H353" s="81">
        <f>прил4.!H356</f>
        <v>14830007</v>
      </c>
      <c r="I353" s="81">
        <f>прил4.!I356</f>
        <v>14976993</v>
      </c>
      <c r="J353" s="98">
        <v>3043600</v>
      </c>
      <c r="P353" s="98"/>
      <c r="Q353" s="98"/>
      <c r="R353" s="98"/>
      <c r="S353" s="98"/>
      <c r="T353" s="98"/>
    </row>
    <row r="354" spans="1:21" s="46" customFormat="1" ht="26.4" x14ac:dyDescent="0.25">
      <c r="A354" s="16" t="s">
        <v>25</v>
      </c>
      <c r="B354" s="14">
        <v>792</v>
      </c>
      <c r="C354" s="15" t="s">
        <v>10</v>
      </c>
      <c r="D354" s="15" t="s">
        <v>92</v>
      </c>
      <c r="E354" s="15" t="s">
        <v>145</v>
      </c>
      <c r="F354" s="15" t="s">
        <v>26</v>
      </c>
      <c r="G354" s="81">
        <f>G355</f>
        <v>1104012.81</v>
      </c>
      <c r="H354" s="81">
        <f>H355</f>
        <v>1150025</v>
      </c>
      <c r="I354" s="81">
        <f>I355</f>
        <v>1200025</v>
      </c>
      <c r="J354" s="98">
        <v>50000</v>
      </c>
      <c r="P354" s="98"/>
      <c r="Q354" s="98"/>
      <c r="R354" s="98"/>
      <c r="S354" s="98"/>
      <c r="T354" s="98"/>
    </row>
    <row r="355" spans="1:21" s="46" customFormat="1" ht="26.4" x14ac:dyDescent="0.25">
      <c r="A355" s="16" t="s">
        <v>27</v>
      </c>
      <c r="B355" s="14">
        <v>792</v>
      </c>
      <c r="C355" s="15" t="s">
        <v>10</v>
      </c>
      <c r="D355" s="15" t="s">
        <v>92</v>
      </c>
      <c r="E355" s="15" t="s">
        <v>145</v>
      </c>
      <c r="F355" s="15" t="s">
        <v>28</v>
      </c>
      <c r="G355" s="81">
        <f>прил4.!G358</f>
        <v>1104012.81</v>
      </c>
      <c r="H355" s="81">
        <f>прил4.!H358</f>
        <v>1150025</v>
      </c>
      <c r="I355" s="81">
        <f>прил4.!I358</f>
        <v>1200025</v>
      </c>
      <c r="J355" s="98">
        <v>15487188</v>
      </c>
      <c r="P355" s="98"/>
      <c r="Q355" s="98"/>
      <c r="R355" s="98"/>
      <c r="S355" s="98"/>
      <c r="T355" s="98"/>
    </row>
    <row r="356" spans="1:21" s="46" customFormat="1" x14ac:dyDescent="0.25">
      <c r="A356" s="30" t="s">
        <v>43</v>
      </c>
      <c r="B356" s="14">
        <v>792</v>
      </c>
      <c r="C356" s="15" t="s">
        <v>10</v>
      </c>
      <c r="D356" s="15" t="s">
        <v>92</v>
      </c>
      <c r="E356" s="15" t="s">
        <v>145</v>
      </c>
      <c r="F356" s="15" t="s">
        <v>44</v>
      </c>
      <c r="G356" s="70">
        <f>G357</f>
        <v>35000</v>
      </c>
      <c r="H356" s="70">
        <f>H357</f>
        <v>35000</v>
      </c>
      <c r="I356" s="70">
        <f>I357</f>
        <v>35000</v>
      </c>
      <c r="J356" s="98">
        <v>4802400</v>
      </c>
      <c r="P356" s="98"/>
      <c r="Q356" s="98"/>
      <c r="R356" s="98"/>
      <c r="S356" s="98"/>
      <c r="T356" s="98"/>
    </row>
    <row r="357" spans="1:21" s="46" customFormat="1" x14ac:dyDescent="0.25">
      <c r="A357" s="30" t="s">
        <v>83</v>
      </c>
      <c r="B357" s="14">
        <v>792</v>
      </c>
      <c r="C357" s="15" t="s">
        <v>10</v>
      </c>
      <c r="D357" s="15" t="s">
        <v>92</v>
      </c>
      <c r="E357" s="15" t="s">
        <v>145</v>
      </c>
      <c r="F357" s="15" t="s">
        <v>46</v>
      </c>
      <c r="G357" s="70">
        <f>прил4.!G360</f>
        <v>35000</v>
      </c>
      <c r="H357" s="70">
        <f>прил4.!H360</f>
        <v>35000</v>
      </c>
      <c r="I357" s="70">
        <f>прил4.!I360</f>
        <v>35000</v>
      </c>
      <c r="J357" s="98">
        <v>16556640</v>
      </c>
      <c r="P357" s="98"/>
      <c r="Q357" s="98"/>
      <c r="R357" s="98"/>
      <c r="S357" s="98"/>
      <c r="T357" s="98"/>
    </row>
    <row r="358" spans="1:21" s="28" customFormat="1" ht="40.5" customHeight="1" x14ac:dyDescent="0.25">
      <c r="A358" s="16" t="s">
        <v>382</v>
      </c>
      <c r="B358" s="14">
        <v>792</v>
      </c>
      <c r="C358" s="15" t="s">
        <v>14</v>
      </c>
      <c r="D358" s="15" t="s">
        <v>10</v>
      </c>
      <c r="E358" s="15" t="s">
        <v>148</v>
      </c>
      <c r="F358" s="39"/>
      <c r="G358" s="81">
        <f>G359</f>
        <v>13587294.690000001</v>
      </c>
      <c r="H358" s="81">
        <f t="shared" ref="H358:I360" si="144">H359</f>
        <v>24939590.68</v>
      </c>
      <c r="I358" s="81">
        <f t="shared" si="144"/>
        <v>29580823.559999999</v>
      </c>
      <c r="J358" s="97">
        <v>3200000</v>
      </c>
      <c r="P358" s="97"/>
      <c r="Q358" s="97"/>
      <c r="R358" s="97"/>
      <c r="S358" s="97"/>
      <c r="T358" s="97"/>
    </row>
    <row r="359" spans="1:21" x14ac:dyDescent="0.25">
      <c r="A359" s="16" t="s">
        <v>191</v>
      </c>
      <c r="B359" s="14">
        <v>792</v>
      </c>
      <c r="C359" s="15" t="s">
        <v>14</v>
      </c>
      <c r="D359" s="15" t="s">
        <v>10</v>
      </c>
      <c r="E359" s="15" t="s">
        <v>149</v>
      </c>
      <c r="F359" s="15"/>
      <c r="G359" s="81">
        <f>G360</f>
        <v>13587294.690000001</v>
      </c>
      <c r="H359" s="81">
        <f t="shared" si="144"/>
        <v>24939590.68</v>
      </c>
      <c r="I359" s="81">
        <f t="shared" si="144"/>
        <v>29580823.559999999</v>
      </c>
      <c r="J359" s="2">
        <f>SUM(J349:J358)</f>
        <v>57137554</v>
      </c>
    </row>
    <row r="360" spans="1:21" x14ac:dyDescent="0.25">
      <c r="A360" s="16" t="s">
        <v>192</v>
      </c>
      <c r="B360" s="14">
        <v>792</v>
      </c>
      <c r="C360" s="15" t="s">
        <v>14</v>
      </c>
      <c r="D360" s="15" t="s">
        <v>10</v>
      </c>
      <c r="E360" s="15" t="s">
        <v>149</v>
      </c>
      <c r="F360" s="15" t="s">
        <v>193</v>
      </c>
      <c r="G360" s="81">
        <f>G361</f>
        <v>13587294.690000001</v>
      </c>
      <c r="H360" s="81">
        <f t="shared" si="144"/>
        <v>24939590.68</v>
      </c>
      <c r="I360" s="81">
        <f t="shared" si="144"/>
        <v>29580823.559999999</v>
      </c>
      <c r="J360" s="2">
        <f>H349-J359</f>
        <v>-16182931.32</v>
      </c>
    </row>
    <row r="361" spans="1:21" x14ac:dyDescent="0.25">
      <c r="A361" s="16" t="s">
        <v>194</v>
      </c>
      <c r="B361" s="14">
        <v>792</v>
      </c>
      <c r="C361" s="15" t="s">
        <v>14</v>
      </c>
      <c r="D361" s="15" t="s">
        <v>10</v>
      </c>
      <c r="E361" s="15" t="s">
        <v>149</v>
      </c>
      <c r="F361" s="15" t="s">
        <v>195</v>
      </c>
      <c r="G361" s="81">
        <f>прил4.!G378+прил4.!G697</f>
        <v>13587294.690000001</v>
      </c>
      <c r="H361" s="81">
        <f>прил4.!H378+прил4.!H697</f>
        <v>24939590.68</v>
      </c>
      <c r="I361" s="81">
        <f>прил4.!I378+прил4.!I697</f>
        <v>29580823.559999999</v>
      </c>
    </row>
    <row r="362" spans="1:21" s="75" customFormat="1" ht="66" x14ac:dyDescent="0.25">
      <c r="A362" s="218" t="s">
        <v>372</v>
      </c>
      <c r="B362" s="35">
        <v>793</v>
      </c>
      <c r="C362" s="36" t="s">
        <v>49</v>
      </c>
      <c r="D362" s="36" t="s">
        <v>79</v>
      </c>
      <c r="E362" s="36" t="s">
        <v>160</v>
      </c>
      <c r="F362" s="74"/>
      <c r="G362" s="71">
        <f>G363+G366+G369+G372+G375+G378</f>
        <v>2066000</v>
      </c>
      <c r="H362" s="71">
        <f t="shared" ref="H362:U362" si="145">H363+H366+H369+H372+H375+H378</f>
        <v>1963800</v>
      </c>
      <c r="I362" s="71">
        <f t="shared" si="145"/>
        <v>1963800</v>
      </c>
      <c r="J362" s="71">
        <f t="shared" si="145"/>
        <v>0</v>
      </c>
      <c r="K362" s="71">
        <f t="shared" si="145"/>
        <v>0</v>
      </c>
      <c r="L362" s="71">
        <f t="shared" si="145"/>
        <v>0</v>
      </c>
      <c r="M362" s="71">
        <f t="shared" si="145"/>
        <v>0</v>
      </c>
      <c r="N362" s="71">
        <f t="shared" si="145"/>
        <v>0</v>
      </c>
      <c r="O362" s="71">
        <f t="shared" si="145"/>
        <v>0</v>
      </c>
      <c r="P362" s="71">
        <f t="shared" si="145"/>
        <v>0</v>
      </c>
      <c r="Q362" s="71">
        <f t="shared" si="145"/>
        <v>0</v>
      </c>
      <c r="R362" s="71">
        <f t="shared" si="145"/>
        <v>0</v>
      </c>
      <c r="S362" s="71">
        <f t="shared" si="145"/>
        <v>0</v>
      </c>
      <c r="T362" s="71">
        <f t="shared" si="145"/>
        <v>0</v>
      </c>
      <c r="U362" s="71">
        <f t="shared" si="145"/>
        <v>0</v>
      </c>
    </row>
    <row r="363" spans="1:21" ht="38.25" customHeight="1" x14ac:dyDescent="0.25">
      <c r="A363" s="16" t="s">
        <v>250</v>
      </c>
      <c r="B363" s="14">
        <v>793</v>
      </c>
      <c r="C363" s="15" t="s">
        <v>49</v>
      </c>
      <c r="D363" s="15" t="s">
        <v>79</v>
      </c>
      <c r="E363" s="15" t="s">
        <v>251</v>
      </c>
      <c r="F363" s="15"/>
      <c r="G363" s="70">
        <f t="shared" ref="G363:I364" si="146">G364</f>
        <v>205000</v>
      </c>
      <c r="H363" s="254">
        <f t="shared" si="146"/>
        <v>0</v>
      </c>
      <c r="I363" s="254">
        <f t="shared" si="146"/>
        <v>0</v>
      </c>
    </row>
    <row r="364" spans="1:21" ht="30.75" customHeight="1" x14ac:dyDescent="0.25">
      <c r="A364" s="16" t="s">
        <v>27</v>
      </c>
      <c r="B364" s="14">
        <v>793</v>
      </c>
      <c r="C364" s="15" t="s">
        <v>49</v>
      </c>
      <c r="D364" s="15" t="s">
        <v>79</v>
      </c>
      <c r="E364" s="15" t="s">
        <v>251</v>
      </c>
      <c r="F364" s="15" t="s">
        <v>26</v>
      </c>
      <c r="G364" s="70">
        <f t="shared" si="146"/>
        <v>205000</v>
      </c>
      <c r="H364" s="254">
        <f t="shared" si="146"/>
        <v>0</v>
      </c>
      <c r="I364" s="254">
        <f t="shared" si="146"/>
        <v>0</v>
      </c>
    </row>
    <row r="365" spans="1:21" ht="32.25" customHeight="1" x14ac:dyDescent="0.25">
      <c r="A365" s="16" t="s">
        <v>27</v>
      </c>
      <c r="B365" s="14">
        <v>793</v>
      </c>
      <c r="C365" s="15" t="s">
        <v>49</v>
      </c>
      <c r="D365" s="15" t="s">
        <v>79</v>
      </c>
      <c r="E365" s="15" t="s">
        <v>251</v>
      </c>
      <c r="F365" s="15" t="s">
        <v>28</v>
      </c>
      <c r="G365" s="70">
        <f>прил4.!G497</f>
        <v>205000</v>
      </c>
      <c r="H365" s="70">
        <f>прил4.!H497</f>
        <v>0</v>
      </c>
      <c r="I365" s="70">
        <f>прил4.!I497</f>
        <v>0</v>
      </c>
    </row>
    <row r="366" spans="1:21" ht="43.5" customHeight="1" x14ac:dyDescent="0.25">
      <c r="A366" s="57" t="s">
        <v>295</v>
      </c>
      <c r="B366" s="14">
        <v>793</v>
      </c>
      <c r="C366" s="15" t="s">
        <v>49</v>
      </c>
      <c r="D366" s="15" t="s">
        <v>79</v>
      </c>
      <c r="E366" s="15" t="s">
        <v>263</v>
      </c>
      <c r="F366" s="15"/>
      <c r="G366" s="70">
        <f>G368</f>
        <v>226200</v>
      </c>
      <c r="H366" s="70">
        <f t="shared" ref="H366:I366" si="147">H368</f>
        <v>250000</v>
      </c>
      <c r="I366" s="70">
        <f t="shared" si="147"/>
        <v>250000</v>
      </c>
      <c r="J366" s="1"/>
    </row>
    <row r="367" spans="1:21" ht="16.5" customHeight="1" x14ac:dyDescent="0.25">
      <c r="A367" s="16" t="s">
        <v>199</v>
      </c>
      <c r="B367" s="14">
        <v>793</v>
      </c>
      <c r="C367" s="15" t="s">
        <v>49</v>
      </c>
      <c r="D367" s="15" t="s">
        <v>79</v>
      </c>
      <c r="E367" s="15" t="s">
        <v>263</v>
      </c>
      <c r="F367" s="15" t="s">
        <v>26</v>
      </c>
      <c r="G367" s="70">
        <f>G368</f>
        <v>226200</v>
      </c>
      <c r="H367" s="70">
        <f>H368</f>
        <v>250000</v>
      </c>
      <c r="I367" s="70">
        <f>I368</f>
        <v>250000</v>
      </c>
      <c r="J367" s="1"/>
    </row>
    <row r="368" spans="1:21" ht="32.25" customHeight="1" x14ac:dyDescent="0.25">
      <c r="A368" s="16" t="s">
        <v>27</v>
      </c>
      <c r="B368" s="14">
        <v>793</v>
      </c>
      <c r="C368" s="15" t="s">
        <v>49</v>
      </c>
      <c r="D368" s="15" t="s">
        <v>79</v>
      </c>
      <c r="E368" s="15" t="s">
        <v>263</v>
      </c>
      <c r="F368" s="15" t="s">
        <v>28</v>
      </c>
      <c r="G368" s="70">
        <f>прил4.!G502</f>
        <v>226200</v>
      </c>
      <c r="H368" s="70">
        <f>прил4.!H502</f>
        <v>250000</v>
      </c>
      <c r="I368" s="70">
        <f>прил4.!I502</f>
        <v>250000</v>
      </c>
      <c r="J368" s="1"/>
    </row>
    <row r="369" spans="1:20" ht="24" customHeight="1" x14ac:dyDescent="0.25">
      <c r="A369" s="57" t="s">
        <v>388</v>
      </c>
      <c r="B369" s="14">
        <v>793</v>
      </c>
      <c r="C369" s="15" t="s">
        <v>49</v>
      </c>
      <c r="D369" s="15" t="s">
        <v>48</v>
      </c>
      <c r="E369" s="15" t="s">
        <v>387</v>
      </c>
      <c r="F369" s="15"/>
      <c r="G369" s="70">
        <f>G370</f>
        <v>1358800</v>
      </c>
      <c r="H369" s="70">
        <f t="shared" ref="H369:I369" si="148">H370</f>
        <v>1358800</v>
      </c>
      <c r="I369" s="70">
        <f t="shared" si="148"/>
        <v>1358800</v>
      </c>
      <c r="J369" s="136"/>
      <c r="K369" s="136"/>
      <c r="L369" s="136"/>
      <c r="M369" s="136"/>
      <c r="N369" s="136"/>
      <c r="O369" s="136"/>
      <c r="P369" s="69"/>
      <c r="Q369" s="69"/>
      <c r="R369" s="69"/>
      <c r="S369" s="1"/>
      <c r="T369" s="1"/>
    </row>
    <row r="370" spans="1:20" ht="16.5" customHeight="1" x14ac:dyDescent="0.25">
      <c r="A370" s="16" t="s">
        <v>199</v>
      </c>
      <c r="B370" s="14">
        <v>793</v>
      </c>
      <c r="C370" s="15" t="s">
        <v>49</v>
      </c>
      <c r="D370" s="15" t="s">
        <v>48</v>
      </c>
      <c r="E370" s="15" t="s">
        <v>387</v>
      </c>
      <c r="F370" s="15" t="s">
        <v>26</v>
      </c>
      <c r="G370" s="70">
        <f>G371</f>
        <v>1358800</v>
      </c>
      <c r="H370" s="70">
        <f>H371</f>
        <v>1358800</v>
      </c>
      <c r="I370" s="70">
        <f>I371</f>
        <v>1358800</v>
      </c>
      <c r="J370" s="136"/>
      <c r="K370" s="69"/>
      <c r="L370" s="69"/>
      <c r="M370" s="69"/>
      <c r="N370" s="69"/>
      <c r="O370" s="69"/>
      <c r="P370" s="69"/>
      <c r="Q370" s="69"/>
      <c r="R370" s="69"/>
      <c r="S370" s="1"/>
      <c r="T370" s="1"/>
    </row>
    <row r="371" spans="1:20" ht="26.4" x14ac:dyDescent="0.25">
      <c r="A371" s="16" t="s">
        <v>27</v>
      </c>
      <c r="B371" s="14">
        <v>793</v>
      </c>
      <c r="C371" s="15" t="s">
        <v>49</v>
      </c>
      <c r="D371" s="15" t="s">
        <v>48</v>
      </c>
      <c r="E371" s="15" t="s">
        <v>387</v>
      </c>
      <c r="F371" s="15" t="s">
        <v>28</v>
      </c>
      <c r="G371" s="70">
        <f>прил4.!G505</f>
        <v>1358800</v>
      </c>
      <c r="H371" s="70">
        <f>прил4.!H505</f>
        <v>1358800</v>
      </c>
      <c r="I371" s="70">
        <f>прил4.!I505</f>
        <v>1358800</v>
      </c>
      <c r="J371" s="136"/>
      <c r="K371" s="69"/>
      <c r="L371" s="69"/>
      <c r="M371" s="69"/>
      <c r="N371" s="69"/>
      <c r="O371" s="69"/>
      <c r="P371" s="69"/>
      <c r="Q371" s="69"/>
      <c r="R371" s="69"/>
      <c r="S371" s="1"/>
      <c r="T371" s="1"/>
    </row>
    <row r="372" spans="1:20" ht="24" customHeight="1" x14ac:dyDescent="0.25">
      <c r="A372" s="57" t="s">
        <v>548</v>
      </c>
      <c r="B372" s="14">
        <v>793</v>
      </c>
      <c r="C372" s="15" t="s">
        <v>49</v>
      </c>
      <c r="D372" s="15" t="s">
        <v>48</v>
      </c>
      <c r="E372" s="15" t="s">
        <v>389</v>
      </c>
      <c r="F372" s="15"/>
      <c r="G372" s="70">
        <f>G373</f>
        <v>50000</v>
      </c>
      <c r="H372" s="70">
        <f t="shared" ref="H372:I372" si="149">H373</f>
        <v>50000</v>
      </c>
      <c r="I372" s="70">
        <f t="shared" si="149"/>
        <v>50000</v>
      </c>
      <c r="J372" s="136"/>
      <c r="K372" s="136"/>
      <c r="L372" s="136"/>
      <c r="M372" s="136"/>
      <c r="N372" s="136"/>
      <c r="O372" s="136"/>
      <c r="P372" s="69"/>
      <c r="Q372" s="69"/>
      <c r="R372" s="69"/>
      <c r="S372" s="1"/>
      <c r="T372" s="1"/>
    </row>
    <row r="373" spans="1:20" ht="21" customHeight="1" x14ac:dyDescent="0.25">
      <c r="A373" s="16" t="s">
        <v>199</v>
      </c>
      <c r="B373" s="14">
        <v>793</v>
      </c>
      <c r="C373" s="15" t="s">
        <v>49</v>
      </c>
      <c r="D373" s="15" t="s">
        <v>48</v>
      </c>
      <c r="E373" s="15" t="s">
        <v>389</v>
      </c>
      <c r="F373" s="15" t="s">
        <v>26</v>
      </c>
      <c r="G373" s="70">
        <f>G374</f>
        <v>50000</v>
      </c>
      <c r="H373" s="70">
        <f>H374</f>
        <v>50000</v>
      </c>
      <c r="I373" s="70">
        <f>I374</f>
        <v>50000</v>
      </c>
      <c r="J373" s="136"/>
      <c r="K373" s="69"/>
      <c r="L373" s="69"/>
      <c r="M373" s="69"/>
      <c r="N373" s="69"/>
      <c r="O373" s="69"/>
      <c r="P373" s="69"/>
      <c r="Q373" s="69"/>
      <c r="R373" s="69"/>
      <c r="S373" s="1"/>
      <c r="T373" s="1"/>
    </row>
    <row r="374" spans="1:20" ht="26.4" x14ac:dyDescent="0.25">
      <c r="A374" s="16" t="s">
        <v>27</v>
      </c>
      <c r="B374" s="14">
        <v>793</v>
      </c>
      <c r="C374" s="15" t="s">
        <v>49</v>
      </c>
      <c r="D374" s="15" t="s">
        <v>48</v>
      </c>
      <c r="E374" s="15" t="s">
        <v>389</v>
      </c>
      <c r="F374" s="15" t="s">
        <v>28</v>
      </c>
      <c r="G374" s="70">
        <f>прил4.!G508</f>
        <v>50000</v>
      </c>
      <c r="H374" s="70">
        <f>прил4.!H508</f>
        <v>50000</v>
      </c>
      <c r="I374" s="70">
        <f>прил4.!I508</f>
        <v>50000</v>
      </c>
      <c r="J374" s="136"/>
      <c r="K374" s="69"/>
      <c r="L374" s="69"/>
      <c r="M374" s="69"/>
      <c r="N374" s="69"/>
      <c r="O374" s="69"/>
      <c r="P374" s="69"/>
      <c r="Q374" s="69"/>
      <c r="R374" s="69"/>
      <c r="S374" s="1"/>
      <c r="T374" s="1"/>
    </row>
    <row r="375" spans="1:20" ht="36.75" customHeight="1" x14ac:dyDescent="0.25">
      <c r="A375" s="57" t="s">
        <v>522</v>
      </c>
      <c r="B375" s="14">
        <v>793</v>
      </c>
      <c r="C375" s="15" t="s">
        <v>49</v>
      </c>
      <c r="D375" s="15" t="s">
        <v>48</v>
      </c>
      <c r="E375" s="15" t="s">
        <v>523</v>
      </c>
      <c r="F375" s="15"/>
      <c r="G375" s="81">
        <f>G376</f>
        <v>221000</v>
      </c>
      <c r="H375" s="70">
        <f t="shared" ref="H375:I375" si="150">H376</f>
        <v>300000</v>
      </c>
      <c r="I375" s="70">
        <f t="shared" si="150"/>
        <v>300000</v>
      </c>
      <c r="J375" s="136"/>
      <c r="K375" s="136"/>
      <c r="L375" s="136"/>
      <c r="M375" s="136"/>
      <c r="N375" s="136"/>
      <c r="O375" s="136"/>
      <c r="P375" s="69"/>
      <c r="Q375" s="69"/>
      <c r="R375" s="69"/>
      <c r="S375" s="1"/>
      <c r="T375" s="1"/>
    </row>
    <row r="376" spans="1:20" ht="20.25" customHeight="1" x14ac:dyDescent="0.25">
      <c r="A376" s="16" t="s">
        <v>199</v>
      </c>
      <c r="B376" s="14">
        <v>793</v>
      </c>
      <c r="C376" s="15" t="s">
        <v>49</v>
      </c>
      <c r="D376" s="15" t="s">
        <v>48</v>
      </c>
      <c r="E376" s="15" t="s">
        <v>523</v>
      </c>
      <c r="F376" s="15" t="s">
        <v>26</v>
      </c>
      <c r="G376" s="81">
        <f>G377</f>
        <v>221000</v>
      </c>
      <c r="H376" s="70">
        <f>H377</f>
        <v>300000</v>
      </c>
      <c r="I376" s="70">
        <f>I377</f>
        <v>300000</v>
      </c>
      <c r="J376" s="136"/>
      <c r="K376" s="69"/>
      <c r="L376" s="69"/>
      <c r="M376" s="69"/>
      <c r="N376" s="69"/>
      <c r="O376" s="69"/>
      <c r="P376" s="69"/>
      <c r="Q376" s="69"/>
      <c r="R376" s="69"/>
      <c r="S376" s="1"/>
      <c r="T376" s="1"/>
    </row>
    <row r="377" spans="1:20" ht="35.25" customHeight="1" x14ac:dyDescent="0.25">
      <c r="A377" s="16" t="s">
        <v>27</v>
      </c>
      <c r="B377" s="14">
        <v>793</v>
      </c>
      <c r="C377" s="15" t="s">
        <v>49</v>
      </c>
      <c r="D377" s="15" t="s">
        <v>48</v>
      </c>
      <c r="E377" s="15" t="s">
        <v>523</v>
      </c>
      <c r="F377" s="15" t="s">
        <v>28</v>
      </c>
      <c r="G377" s="81">
        <f>прил4.!G511</f>
        <v>221000</v>
      </c>
      <c r="H377" s="81">
        <f>прил4.!H511</f>
        <v>300000</v>
      </c>
      <c r="I377" s="81">
        <f>прил4.!I511</f>
        <v>300000</v>
      </c>
      <c r="J377" s="136"/>
      <c r="K377" s="69"/>
      <c r="L377" s="69"/>
      <c r="M377" s="69"/>
      <c r="N377" s="69"/>
      <c r="O377" s="69"/>
      <c r="P377" s="69"/>
      <c r="Q377" s="69"/>
      <c r="R377" s="69"/>
      <c r="S377" s="1"/>
      <c r="T377" s="1"/>
    </row>
    <row r="378" spans="1:20" ht="34.5" customHeight="1" x14ac:dyDescent="0.25">
      <c r="A378" s="57" t="s">
        <v>524</v>
      </c>
      <c r="B378" s="14">
        <v>793</v>
      </c>
      <c r="C378" s="15" t="s">
        <v>49</v>
      </c>
      <c r="D378" s="15" t="s">
        <v>48</v>
      </c>
      <c r="E378" s="15" t="s">
        <v>525</v>
      </c>
      <c r="F378" s="15"/>
      <c r="G378" s="81">
        <f>G379</f>
        <v>5000</v>
      </c>
      <c r="H378" s="70">
        <f t="shared" ref="H378:I378" si="151">H379</f>
        <v>5000</v>
      </c>
      <c r="I378" s="70">
        <f t="shared" si="151"/>
        <v>5000</v>
      </c>
      <c r="J378" s="136"/>
      <c r="K378" s="136"/>
      <c r="L378" s="136"/>
      <c r="M378" s="136"/>
      <c r="N378" s="136"/>
      <c r="O378" s="136"/>
      <c r="P378" s="69"/>
      <c r="Q378" s="69"/>
      <c r="R378" s="69"/>
      <c r="S378" s="1"/>
      <c r="T378" s="1"/>
    </row>
    <row r="379" spans="1:20" ht="20.25" customHeight="1" x14ac:dyDescent="0.25">
      <c r="A379" s="16" t="s">
        <v>199</v>
      </c>
      <c r="B379" s="14">
        <v>793</v>
      </c>
      <c r="C379" s="15" t="s">
        <v>49</v>
      </c>
      <c r="D379" s="15" t="s">
        <v>48</v>
      </c>
      <c r="E379" s="15" t="s">
        <v>525</v>
      </c>
      <c r="F379" s="15" t="s">
        <v>26</v>
      </c>
      <c r="G379" s="81">
        <f>G380</f>
        <v>5000</v>
      </c>
      <c r="H379" s="70">
        <f>H380</f>
        <v>5000</v>
      </c>
      <c r="I379" s="70">
        <f>I380</f>
        <v>5000</v>
      </c>
      <c r="J379" s="136"/>
      <c r="K379" s="69"/>
      <c r="L379" s="69"/>
      <c r="M379" s="69"/>
      <c r="N379" s="69"/>
      <c r="O379" s="69"/>
      <c r="P379" s="69"/>
      <c r="Q379" s="69"/>
      <c r="R379" s="69"/>
      <c r="S379" s="1"/>
      <c r="T379" s="1"/>
    </row>
    <row r="380" spans="1:20" ht="26.4" x14ac:dyDescent="0.25">
      <c r="A380" s="16" t="s">
        <v>27</v>
      </c>
      <c r="B380" s="14">
        <v>793</v>
      </c>
      <c r="C380" s="15" t="s">
        <v>49</v>
      </c>
      <c r="D380" s="15" t="s">
        <v>48</v>
      </c>
      <c r="E380" s="15" t="s">
        <v>525</v>
      </c>
      <c r="F380" s="15" t="s">
        <v>28</v>
      </c>
      <c r="G380" s="81">
        <f>прил4.!G514</f>
        <v>5000</v>
      </c>
      <c r="H380" s="81">
        <f>прил4.!H514</f>
        <v>5000</v>
      </c>
      <c r="I380" s="81">
        <f>прил4.!I514</f>
        <v>5000</v>
      </c>
      <c r="J380" s="136"/>
      <c r="K380" s="69"/>
      <c r="L380" s="69"/>
      <c r="M380" s="69"/>
      <c r="N380" s="69"/>
      <c r="O380" s="69"/>
      <c r="P380" s="69"/>
      <c r="Q380" s="69"/>
      <c r="R380" s="69"/>
      <c r="S380" s="1"/>
      <c r="T380" s="1"/>
    </row>
    <row r="381" spans="1:20" ht="48.75" customHeight="1" x14ac:dyDescent="0.25">
      <c r="A381" s="96" t="s">
        <v>355</v>
      </c>
      <c r="B381" s="14"/>
      <c r="C381" s="15"/>
      <c r="D381" s="15"/>
      <c r="E381" s="36" t="s">
        <v>158</v>
      </c>
      <c r="F381" s="36"/>
      <c r="G381" s="127">
        <f>G382+G385</f>
        <v>85000</v>
      </c>
      <c r="H381" s="127">
        <f t="shared" ref="H381:I381" si="152">H382+H385</f>
        <v>85000</v>
      </c>
      <c r="I381" s="127">
        <f t="shared" si="152"/>
        <v>85000</v>
      </c>
      <c r="J381" s="2">
        <v>3000000</v>
      </c>
      <c r="T381" s="2">
        <f>прил4.!G465</f>
        <v>85000</v>
      </c>
    </row>
    <row r="382" spans="1:20" ht="59.25" customHeight="1" x14ac:dyDescent="0.25">
      <c r="A382" s="40" t="s">
        <v>12</v>
      </c>
      <c r="B382" s="14">
        <v>793</v>
      </c>
      <c r="C382" s="15" t="s">
        <v>10</v>
      </c>
      <c r="D382" s="15" t="s">
        <v>14</v>
      </c>
      <c r="E382" s="15" t="s">
        <v>11</v>
      </c>
      <c r="F382" s="15"/>
      <c r="G382" s="81">
        <f t="shared" ref="G382:I383" si="153">G383</f>
        <v>75000</v>
      </c>
      <c r="H382" s="81">
        <f t="shared" si="153"/>
        <v>75000</v>
      </c>
      <c r="I382" s="81">
        <f t="shared" si="153"/>
        <v>75000</v>
      </c>
    </row>
    <row r="383" spans="1:20" x14ac:dyDescent="0.25">
      <c r="A383" s="16" t="s">
        <v>199</v>
      </c>
      <c r="B383" s="14">
        <v>793</v>
      </c>
      <c r="C383" s="15" t="s">
        <v>10</v>
      </c>
      <c r="D383" s="15" t="s">
        <v>14</v>
      </c>
      <c r="E383" s="15" t="s">
        <v>11</v>
      </c>
      <c r="F383" s="15" t="s">
        <v>26</v>
      </c>
      <c r="G383" s="81">
        <f t="shared" si="153"/>
        <v>75000</v>
      </c>
      <c r="H383" s="81">
        <f t="shared" si="153"/>
        <v>75000</v>
      </c>
      <c r="I383" s="81">
        <f t="shared" si="153"/>
        <v>75000</v>
      </c>
    </row>
    <row r="384" spans="1:20" ht="30.75" customHeight="1" x14ac:dyDescent="0.25">
      <c r="A384" s="16" t="s">
        <v>27</v>
      </c>
      <c r="B384" s="14">
        <v>793</v>
      </c>
      <c r="C384" s="15" t="s">
        <v>10</v>
      </c>
      <c r="D384" s="15" t="s">
        <v>14</v>
      </c>
      <c r="E384" s="15" t="s">
        <v>11</v>
      </c>
      <c r="F384" s="15" t="s">
        <v>28</v>
      </c>
      <c r="G384" s="81">
        <f>прил4.!G468</f>
        <v>75000</v>
      </c>
      <c r="H384" s="81">
        <f>прил4.!H468</f>
        <v>75000</v>
      </c>
      <c r="I384" s="81">
        <f>прил4.!I468</f>
        <v>75000</v>
      </c>
    </row>
    <row r="385" spans="1:21" ht="54.75" customHeight="1" x14ac:dyDescent="0.25">
      <c r="A385" s="40" t="s">
        <v>456</v>
      </c>
      <c r="B385" s="14">
        <v>793</v>
      </c>
      <c r="C385" s="15" t="s">
        <v>10</v>
      </c>
      <c r="D385" s="15" t="s">
        <v>14</v>
      </c>
      <c r="E385" s="15" t="s">
        <v>455</v>
      </c>
      <c r="F385" s="15"/>
      <c r="G385" s="70">
        <f t="shared" ref="G385:I386" si="154">G386</f>
        <v>10000</v>
      </c>
      <c r="H385" s="70">
        <f t="shared" si="154"/>
        <v>10000</v>
      </c>
      <c r="I385" s="70">
        <f t="shared" si="154"/>
        <v>10000</v>
      </c>
      <c r="J385" s="136"/>
      <c r="K385" s="69"/>
      <c r="L385" s="69"/>
      <c r="M385" s="69"/>
      <c r="N385" s="69"/>
      <c r="O385" s="69"/>
      <c r="P385" s="69"/>
      <c r="Q385" s="69"/>
      <c r="R385" s="69"/>
      <c r="S385" s="1"/>
      <c r="T385" s="1"/>
    </row>
    <row r="386" spans="1:21" ht="18" customHeight="1" x14ac:dyDescent="0.25">
      <c r="A386" s="16" t="s">
        <v>199</v>
      </c>
      <c r="B386" s="14">
        <v>793</v>
      </c>
      <c r="C386" s="15" t="s">
        <v>10</v>
      </c>
      <c r="D386" s="15" t="s">
        <v>14</v>
      </c>
      <c r="E386" s="15" t="s">
        <v>455</v>
      </c>
      <c r="F386" s="15" t="s">
        <v>26</v>
      </c>
      <c r="G386" s="70">
        <f t="shared" si="154"/>
        <v>10000</v>
      </c>
      <c r="H386" s="70">
        <f t="shared" si="154"/>
        <v>10000</v>
      </c>
      <c r="I386" s="70">
        <f t="shared" si="154"/>
        <v>10000</v>
      </c>
      <c r="J386" s="136"/>
      <c r="K386" s="69"/>
      <c r="L386" s="69"/>
      <c r="M386" s="69"/>
      <c r="N386" s="69"/>
      <c r="O386" s="69"/>
      <c r="P386" s="69"/>
      <c r="Q386" s="69"/>
      <c r="R386" s="69"/>
      <c r="S386" s="1"/>
      <c r="T386" s="1"/>
    </row>
    <row r="387" spans="1:21" ht="30.75" customHeight="1" x14ac:dyDescent="0.25">
      <c r="A387" s="16" t="s">
        <v>27</v>
      </c>
      <c r="B387" s="14">
        <v>793</v>
      </c>
      <c r="C387" s="15" t="s">
        <v>10</v>
      </c>
      <c r="D387" s="15" t="s">
        <v>14</v>
      </c>
      <c r="E387" s="15" t="s">
        <v>455</v>
      </c>
      <c r="F387" s="15" t="s">
        <v>28</v>
      </c>
      <c r="G387" s="70">
        <f>прил4.!G471</f>
        <v>10000</v>
      </c>
      <c r="H387" s="70">
        <f>прил4.!H471</f>
        <v>10000</v>
      </c>
      <c r="I387" s="70">
        <f>прил4.!I471</f>
        <v>10000</v>
      </c>
      <c r="J387" s="136"/>
      <c r="K387" s="69"/>
      <c r="L387" s="69"/>
      <c r="M387" s="69"/>
      <c r="N387" s="69"/>
      <c r="O387" s="69"/>
      <c r="P387" s="69"/>
      <c r="Q387" s="69"/>
      <c r="R387" s="69"/>
      <c r="S387" s="1"/>
      <c r="T387" s="1"/>
    </row>
    <row r="388" spans="1:21" s="22" customFormat="1" ht="51" customHeight="1" x14ac:dyDescent="0.25">
      <c r="A388" s="96" t="s">
        <v>373</v>
      </c>
      <c r="B388" s="35">
        <v>795</v>
      </c>
      <c r="C388" s="36" t="s">
        <v>98</v>
      </c>
      <c r="D388" s="36" t="s">
        <v>19</v>
      </c>
      <c r="E388" s="36" t="s">
        <v>187</v>
      </c>
      <c r="F388" s="36"/>
      <c r="G388" s="71">
        <f>G392+G395+G398+G401+G404+G407+G410+G413+G416+G389</f>
        <v>10607795</v>
      </c>
      <c r="H388" s="71">
        <f t="shared" ref="H388:I388" si="155">H392+H395+H398+H401+H404+H407+H410+H413+H416+H389</f>
        <v>10555795</v>
      </c>
      <c r="I388" s="71">
        <f t="shared" si="155"/>
        <v>10555795</v>
      </c>
      <c r="J388" s="71" t="e">
        <f>J394+J400+J406+J409+J412+J415+#REF!+J418+#REF!+#REF!+#REF!+#REF!+#REF!+#REF!+#REF!+#REF!+#REF!+#REF!+#REF!+#REF!+#REF!+#REF!+#REF!+#REF!+#REF!+#REF!+J395+J401</f>
        <v>#REF!</v>
      </c>
      <c r="K388" s="71" t="e">
        <f>K394+K400+K406+K409+K412+K415+#REF!+K418+#REF!+#REF!+#REF!+#REF!+#REF!+#REF!+#REF!+#REF!+#REF!+#REF!+#REF!+#REF!+#REF!+#REF!+#REF!+#REF!+#REF!+#REF!+K395+K401</f>
        <v>#REF!</v>
      </c>
      <c r="L388" s="71" t="e">
        <f>L394+L400+L406+L409+L412+L415+#REF!+L418+#REF!+#REF!+#REF!+#REF!+#REF!+#REF!+#REF!+#REF!+#REF!+#REF!+#REF!+#REF!+#REF!+#REF!+#REF!+#REF!+#REF!+#REF!+L395+L401</f>
        <v>#REF!</v>
      </c>
      <c r="M388" s="71" t="e">
        <f>M394+M400+M406+M409+M412+M415+#REF!+M418+#REF!+#REF!+#REF!+#REF!+#REF!+#REF!+#REF!+#REF!+#REF!+#REF!+#REF!+#REF!+#REF!+#REF!+#REF!+#REF!+#REF!+#REF!+M395+M401</f>
        <v>#REF!</v>
      </c>
      <c r="N388" s="71" t="e">
        <f>N394+N400+N406+N409+N412+N415+#REF!+N418+#REF!+#REF!+#REF!+#REF!+#REF!+#REF!+#REF!+#REF!+#REF!+#REF!+#REF!+#REF!+#REF!+#REF!+#REF!+#REF!+#REF!+#REF!+N395+N401</f>
        <v>#REF!</v>
      </c>
      <c r="O388" s="71" t="e">
        <f>O394+O400+O406+O409+O412+O415+#REF!+O418+#REF!+#REF!+#REF!+#REF!+#REF!+#REF!+#REF!+#REF!+#REF!+#REF!+#REF!+#REF!+#REF!+#REF!+#REF!+#REF!+#REF!+#REF!+O395+O401</f>
        <v>#REF!</v>
      </c>
      <c r="P388" s="71" t="e">
        <f>P394+P400+P406+P409+P412+P415+#REF!+P418+#REF!+#REF!+#REF!+#REF!+#REF!+#REF!+#REF!+#REF!+#REF!+#REF!+#REF!+#REF!+#REF!+#REF!+#REF!+#REF!+#REF!+#REF!+P395+P401</f>
        <v>#REF!</v>
      </c>
      <c r="Q388" s="71" t="e">
        <f>Q394+Q400+Q406+Q409+Q412+Q415+#REF!+Q418+#REF!+#REF!+#REF!+#REF!+#REF!+#REF!+#REF!+#REF!+#REF!+#REF!+#REF!+#REF!+#REF!+#REF!+#REF!+#REF!+#REF!+#REF!+Q395+Q401</f>
        <v>#REF!</v>
      </c>
      <c r="R388" s="71" t="e">
        <f>R394+R400+R406+R409+R412+R415+#REF!+R418+#REF!+#REF!+#REF!+#REF!+#REF!+#REF!+#REF!+#REF!+#REF!+#REF!+#REF!+#REF!+#REF!+#REF!+#REF!+#REF!+#REF!+#REF!+R395+R401</f>
        <v>#REF!</v>
      </c>
      <c r="S388" s="71" t="e">
        <f>S394+S400+S406+S409+S412+S415+#REF!+S418+#REF!+#REF!+#REF!+#REF!+#REF!+#REF!+#REF!+#REF!+#REF!+#REF!+#REF!+#REF!+#REF!+#REF!+#REF!+#REF!+#REF!+#REF!+S395+S401</f>
        <v>#REF!</v>
      </c>
      <c r="T388" s="71" t="e">
        <f>T394+T400+T406+T409+T412+T415+#REF!+T418+#REF!+#REF!+#REF!+#REF!+#REF!+#REF!+#REF!+#REF!+#REF!+#REF!+#REF!+#REF!+#REF!+#REF!+#REF!+#REF!+#REF!+#REF!+T395+T401</f>
        <v>#REF!</v>
      </c>
      <c r="U388" s="71" t="e">
        <f>U394+U400+U406+U409+U412+U415+#REF!+U418+#REF!+#REF!+#REF!+#REF!+#REF!+#REF!+#REF!+#REF!+#REF!+#REF!+#REF!+#REF!+#REF!+#REF!+#REF!+#REF!+#REF!+#REF!+U395+U401</f>
        <v>#REF!</v>
      </c>
    </row>
    <row r="389" spans="1:21" ht="57.75" customHeight="1" x14ac:dyDescent="0.25">
      <c r="A389" s="114" t="s">
        <v>528</v>
      </c>
      <c r="B389" s="273">
        <v>793</v>
      </c>
      <c r="C389" s="79" t="s">
        <v>98</v>
      </c>
      <c r="D389" s="79" t="s">
        <v>19</v>
      </c>
      <c r="E389" s="79" t="s">
        <v>529</v>
      </c>
      <c r="F389" s="79"/>
      <c r="G389" s="81">
        <f>G390</f>
        <v>600000</v>
      </c>
      <c r="H389" s="70"/>
      <c r="I389" s="70"/>
    </row>
    <row r="390" spans="1:21" ht="36" customHeight="1" x14ac:dyDescent="0.25">
      <c r="A390" s="78" t="s">
        <v>69</v>
      </c>
      <c r="B390" s="273">
        <v>793</v>
      </c>
      <c r="C390" s="79" t="s">
        <v>98</v>
      </c>
      <c r="D390" s="79" t="s">
        <v>19</v>
      </c>
      <c r="E390" s="79" t="s">
        <v>529</v>
      </c>
      <c r="F390" s="79" t="s">
        <v>215</v>
      </c>
      <c r="G390" s="81">
        <f>G391</f>
        <v>600000</v>
      </c>
      <c r="H390" s="70"/>
      <c r="I390" s="70"/>
    </row>
    <row r="391" spans="1:21" ht="22.5" customHeight="1" x14ac:dyDescent="0.25">
      <c r="A391" s="78" t="s">
        <v>216</v>
      </c>
      <c r="B391" s="273">
        <v>793</v>
      </c>
      <c r="C391" s="79" t="s">
        <v>98</v>
      </c>
      <c r="D391" s="79" t="s">
        <v>19</v>
      </c>
      <c r="E391" s="79" t="s">
        <v>529</v>
      </c>
      <c r="F391" s="79" t="s">
        <v>217</v>
      </c>
      <c r="G391" s="81">
        <f>прил4.!G579</f>
        <v>600000</v>
      </c>
      <c r="H391" s="70"/>
      <c r="I391" s="70"/>
    </row>
    <row r="392" spans="1:21" s="84" customFormat="1" ht="27.75" customHeight="1" x14ac:dyDescent="0.25">
      <c r="A392" s="78" t="s">
        <v>291</v>
      </c>
      <c r="B392" s="120">
        <v>795</v>
      </c>
      <c r="C392" s="79" t="s">
        <v>98</v>
      </c>
      <c r="D392" s="79" t="s">
        <v>19</v>
      </c>
      <c r="E392" s="79" t="s">
        <v>188</v>
      </c>
      <c r="F392" s="79"/>
      <c r="G392" s="70">
        <f>G393</f>
        <v>0</v>
      </c>
      <c r="H392" s="70">
        <f t="shared" ref="G392:I393" si="156">H393</f>
        <v>100000</v>
      </c>
      <c r="I392" s="70">
        <f t="shared" si="156"/>
        <v>100000</v>
      </c>
      <c r="J392" s="105"/>
      <c r="M392" s="106">
        <v>662715</v>
      </c>
      <c r="P392" s="107"/>
      <c r="Q392" s="107"/>
      <c r="R392" s="107"/>
      <c r="S392" s="107"/>
      <c r="T392" s="107"/>
    </row>
    <row r="393" spans="1:21" s="84" customFormat="1" ht="26.4" x14ac:dyDescent="0.25">
      <c r="A393" s="78" t="s">
        <v>25</v>
      </c>
      <c r="B393" s="120">
        <v>795</v>
      </c>
      <c r="C393" s="79" t="s">
        <v>98</v>
      </c>
      <c r="D393" s="79" t="s">
        <v>19</v>
      </c>
      <c r="E393" s="79" t="s">
        <v>188</v>
      </c>
      <c r="F393" s="79" t="s">
        <v>26</v>
      </c>
      <c r="G393" s="70">
        <f t="shared" si="156"/>
        <v>0</v>
      </c>
      <c r="H393" s="70">
        <f t="shared" si="156"/>
        <v>100000</v>
      </c>
      <c r="I393" s="70">
        <f t="shared" si="156"/>
        <v>100000</v>
      </c>
      <c r="J393" s="105"/>
      <c r="M393" s="106">
        <v>1000000</v>
      </c>
      <c r="P393" s="107"/>
      <c r="Q393" s="107"/>
      <c r="R393" s="107"/>
      <c r="S393" s="107"/>
      <c r="T393" s="107"/>
    </row>
    <row r="394" spans="1:21" s="84" customFormat="1" ht="26.4" x14ac:dyDescent="0.25">
      <c r="A394" s="78" t="s">
        <v>27</v>
      </c>
      <c r="B394" s="120">
        <v>795</v>
      </c>
      <c r="C394" s="79" t="s">
        <v>98</v>
      </c>
      <c r="D394" s="79" t="s">
        <v>19</v>
      </c>
      <c r="E394" s="79" t="s">
        <v>188</v>
      </c>
      <c r="F394" s="79" t="s">
        <v>28</v>
      </c>
      <c r="G394" s="70">
        <f>прил4.!G582</f>
        <v>0</v>
      </c>
      <c r="H394" s="70">
        <f>прил4.!H582</f>
        <v>100000</v>
      </c>
      <c r="I394" s="70">
        <f>прил4.!I582</f>
        <v>100000</v>
      </c>
      <c r="J394" s="105"/>
      <c r="M394" s="106">
        <v>200000</v>
      </c>
      <c r="P394" s="107"/>
      <c r="Q394" s="107"/>
      <c r="R394" s="107"/>
      <c r="S394" s="107"/>
      <c r="T394" s="107" t="e">
        <f>G394+G400+G406+G409+G412+G415+#REF!+G418+#REF!+#REF!+#REF!+#REF!+#REF!+#REF!+#REF!+#REF!</f>
        <v>#REF!</v>
      </c>
    </row>
    <row r="395" spans="1:21" x14ac:dyDescent="0.25">
      <c r="A395" s="16" t="s">
        <v>475</v>
      </c>
      <c r="B395" s="14">
        <v>793</v>
      </c>
      <c r="C395" s="15" t="s">
        <v>98</v>
      </c>
      <c r="D395" s="15" t="s">
        <v>19</v>
      </c>
      <c r="E395" s="15" t="s">
        <v>350</v>
      </c>
      <c r="F395" s="15"/>
      <c r="G395" s="70">
        <f>G396</f>
        <v>0</v>
      </c>
      <c r="H395" s="70">
        <f t="shared" ref="G395:I396" si="157">H396</f>
        <v>1000000</v>
      </c>
      <c r="I395" s="70">
        <f t="shared" si="157"/>
        <v>1000000</v>
      </c>
      <c r="J395" s="136"/>
      <c r="K395" s="69"/>
      <c r="L395" s="69"/>
      <c r="M395" s="69"/>
      <c r="N395" s="69"/>
      <c r="O395" s="69"/>
      <c r="P395" s="69"/>
      <c r="Q395" s="69"/>
      <c r="R395" s="69"/>
      <c r="S395" s="1"/>
      <c r="T395" s="1"/>
    </row>
    <row r="396" spans="1:21" ht="26.4" x14ac:dyDescent="0.25">
      <c r="A396" s="16" t="s">
        <v>25</v>
      </c>
      <c r="B396" s="14">
        <v>793</v>
      </c>
      <c r="C396" s="15" t="s">
        <v>98</v>
      </c>
      <c r="D396" s="15" t="s">
        <v>19</v>
      </c>
      <c r="E396" s="15" t="s">
        <v>350</v>
      </c>
      <c r="F396" s="15" t="s">
        <v>26</v>
      </c>
      <c r="G396" s="70">
        <f t="shared" si="157"/>
        <v>0</v>
      </c>
      <c r="H396" s="70">
        <f t="shared" si="157"/>
        <v>1000000</v>
      </c>
      <c r="I396" s="70">
        <f t="shared" si="157"/>
        <v>1000000</v>
      </c>
      <c r="J396" s="136"/>
      <c r="K396" s="69"/>
      <c r="L396" s="69"/>
      <c r="M396" s="69"/>
      <c r="N396" s="69"/>
      <c r="O396" s="69"/>
      <c r="P396" s="69"/>
      <c r="Q396" s="69"/>
      <c r="R396" s="69"/>
      <c r="S396" s="1"/>
      <c r="T396" s="1"/>
    </row>
    <row r="397" spans="1:21" ht="26.4" x14ac:dyDescent="0.25">
      <c r="A397" s="16" t="s">
        <v>27</v>
      </c>
      <c r="B397" s="14">
        <v>793</v>
      </c>
      <c r="C397" s="15" t="s">
        <v>98</v>
      </c>
      <c r="D397" s="15" t="s">
        <v>19</v>
      </c>
      <c r="E397" s="15" t="s">
        <v>350</v>
      </c>
      <c r="F397" s="15" t="s">
        <v>28</v>
      </c>
      <c r="G397" s="70">
        <f>прил4.!G585</f>
        <v>0</v>
      </c>
      <c r="H397" s="70">
        <f>прил4.!H585</f>
        <v>1000000</v>
      </c>
      <c r="I397" s="70">
        <f>прил4.!I585</f>
        <v>1000000</v>
      </c>
      <c r="J397" s="136"/>
      <c r="K397" s="69"/>
      <c r="L397" s="69"/>
      <c r="M397" s="69"/>
      <c r="N397" s="69"/>
      <c r="O397" s="69"/>
      <c r="P397" s="69"/>
      <c r="Q397" s="69"/>
      <c r="R397" s="69"/>
      <c r="S397" s="1"/>
      <c r="T397" s="1"/>
    </row>
    <row r="398" spans="1:21" ht="62.25" customHeight="1" x14ac:dyDescent="0.25">
      <c r="A398" s="16" t="s">
        <v>532</v>
      </c>
      <c r="B398" s="120">
        <v>793</v>
      </c>
      <c r="C398" s="79" t="s">
        <v>98</v>
      </c>
      <c r="D398" s="79" t="s">
        <v>98</v>
      </c>
      <c r="E398" s="79" t="s">
        <v>351</v>
      </c>
      <c r="F398" s="79"/>
      <c r="G398" s="81">
        <f>G399</f>
        <v>500000</v>
      </c>
      <c r="H398" s="81">
        <f t="shared" ref="H398:I398" si="158">H399</f>
        <v>0</v>
      </c>
      <c r="I398" s="81">
        <f t="shared" si="158"/>
        <v>0</v>
      </c>
      <c r="J398" s="138"/>
      <c r="K398" s="142"/>
      <c r="L398" s="142"/>
      <c r="M398" s="142"/>
      <c r="N398" s="142"/>
      <c r="O398" s="142"/>
      <c r="P398" s="142"/>
      <c r="Q398" s="142"/>
      <c r="R398" s="142"/>
      <c r="S398" s="1"/>
      <c r="T398" s="1"/>
    </row>
    <row r="399" spans="1:21" ht="39" customHeight="1" x14ac:dyDescent="0.25">
      <c r="A399" s="16" t="s">
        <v>69</v>
      </c>
      <c r="B399" s="120">
        <v>793</v>
      </c>
      <c r="C399" s="79" t="s">
        <v>98</v>
      </c>
      <c r="D399" s="79" t="s">
        <v>98</v>
      </c>
      <c r="E399" s="79" t="s">
        <v>351</v>
      </c>
      <c r="F399" s="79" t="s">
        <v>215</v>
      </c>
      <c r="G399" s="81">
        <f>G400</f>
        <v>500000</v>
      </c>
      <c r="H399" s="81">
        <f t="shared" ref="H399:I399" si="159">H400</f>
        <v>0</v>
      </c>
      <c r="I399" s="81">
        <f t="shared" si="159"/>
        <v>0</v>
      </c>
      <c r="J399" s="138"/>
      <c r="K399" s="142"/>
      <c r="L399" s="142"/>
      <c r="M399" s="142"/>
      <c r="N399" s="142"/>
      <c r="O399" s="142"/>
      <c r="P399" s="142"/>
      <c r="Q399" s="142"/>
      <c r="R399" s="142"/>
      <c r="S399" s="1"/>
      <c r="T399" s="1"/>
    </row>
    <row r="400" spans="1:21" ht="30.75" customHeight="1" x14ac:dyDescent="0.25">
      <c r="A400" s="16" t="s">
        <v>216</v>
      </c>
      <c r="B400" s="120">
        <v>793</v>
      </c>
      <c r="C400" s="79" t="s">
        <v>98</v>
      </c>
      <c r="D400" s="79" t="s">
        <v>98</v>
      </c>
      <c r="E400" s="79" t="s">
        <v>351</v>
      </c>
      <c r="F400" s="79" t="s">
        <v>217</v>
      </c>
      <c r="G400" s="70">
        <f>прил4.!G618</f>
        <v>500000</v>
      </c>
      <c r="H400" s="70">
        <f>прил4.!H618</f>
        <v>0</v>
      </c>
      <c r="I400" s="70">
        <f>прил4.!I618</f>
        <v>0</v>
      </c>
      <c r="J400" s="138"/>
      <c r="K400" s="142"/>
      <c r="L400" s="142"/>
      <c r="M400" s="142"/>
      <c r="N400" s="142"/>
      <c r="O400" s="142"/>
      <c r="P400" s="142"/>
      <c r="Q400" s="142"/>
      <c r="R400" s="142"/>
      <c r="S400" s="1"/>
      <c r="T400" s="1"/>
    </row>
    <row r="401" spans="1:20" ht="21.75" customHeight="1" x14ac:dyDescent="0.25">
      <c r="A401" s="16" t="s">
        <v>476</v>
      </c>
      <c r="B401" s="14">
        <v>793</v>
      </c>
      <c r="C401" s="15" t="s">
        <v>98</v>
      </c>
      <c r="D401" s="15" t="s">
        <v>19</v>
      </c>
      <c r="E401" s="15" t="s">
        <v>474</v>
      </c>
      <c r="F401" s="15"/>
      <c r="G401" s="70">
        <f>G402</f>
        <v>1450000</v>
      </c>
      <c r="H401" s="70">
        <f t="shared" ref="G401:I402" si="160">H402</f>
        <v>2000000</v>
      </c>
      <c r="I401" s="70">
        <f t="shared" si="160"/>
        <v>2000000</v>
      </c>
      <c r="J401" s="136"/>
      <c r="K401" s="69"/>
      <c r="L401" s="69"/>
      <c r="M401" s="69"/>
      <c r="N401" s="69"/>
      <c r="O401" s="69"/>
      <c r="P401" s="69"/>
      <c r="Q401" s="69"/>
      <c r="R401" s="69"/>
      <c r="S401" s="1"/>
      <c r="T401" s="1"/>
    </row>
    <row r="402" spans="1:20" ht="26.4" x14ac:dyDescent="0.25">
      <c r="A402" s="16" t="s">
        <v>25</v>
      </c>
      <c r="B402" s="14">
        <v>793</v>
      </c>
      <c r="C402" s="15" t="s">
        <v>98</v>
      </c>
      <c r="D402" s="15" t="s">
        <v>19</v>
      </c>
      <c r="E402" s="15" t="s">
        <v>474</v>
      </c>
      <c r="F402" s="15" t="s">
        <v>26</v>
      </c>
      <c r="G402" s="70">
        <f t="shared" si="160"/>
        <v>1450000</v>
      </c>
      <c r="H402" s="70">
        <f t="shared" si="160"/>
        <v>2000000</v>
      </c>
      <c r="I402" s="70">
        <f t="shared" si="160"/>
        <v>2000000</v>
      </c>
      <c r="J402" s="136"/>
      <c r="K402" s="69"/>
      <c r="L402" s="69"/>
      <c r="M402" s="69"/>
      <c r="N402" s="69"/>
      <c r="O402" s="69"/>
      <c r="P402" s="69"/>
      <c r="Q402" s="69"/>
      <c r="R402" s="69"/>
      <c r="S402" s="1"/>
      <c r="T402" s="1"/>
    </row>
    <row r="403" spans="1:20" ht="26.4" x14ac:dyDescent="0.25">
      <c r="A403" s="16" t="s">
        <v>27</v>
      </c>
      <c r="B403" s="14">
        <v>793</v>
      </c>
      <c r="C403" s="15" t="s">
        <v>98</v>
      </c>
      <c r="D403" s="15" t="s">
        <v>19</v>
      </c>
      <c r="E403" s="15" t="s">
        <v>474</v>
      </c>
      <c r="F403" s="15" t="s">
        <v>28</v>
      </c>
      <c r="G403" s="70">
        <f>прил4.!G588</f>
        <v>1450000</v>
      </c>
      <c r="H403" s="70">
        <f>прил4.!H588</f>
        <v>2000000</v>
      </c>
      <c r="I403" s="70">
        <f>прил4.!I588</f>
        <v>2000000</v>
      </c>
      <c r="J403" s="136"/>
      <c r="K403" s="69"/>
      <c r="L403" s="69"/>
      <c r="M403" s="69"/>
      <c r="N403" s="69"/>
      <c r="O403" s="69"/>
      <c r="P403" s="69"/>
      <c r="Q403" s="69"/>
      <c r="R403" s="69"/>
      <c r="S403" s="1"/>
      <c r="T403" s="1"/>
    </row>
    <row r="404" spans="1:20" s="84" customFormat="1" ht="32.25" customHeight="1" x14ac:dyDescent="0.25">
      <c r="A404" s="78" t="s">
        <v>390</v>
      </c>
      <c r="B404" s="120">
        <v>795</v>
      </c>
      <c r="C404" s="79" t="s">
        <v>98</v>
      </c>
      <c r="D404" s="79" t="s">
        <v>49</v>
      </c>
      <c r="E404" s="79" t="s">
        <v>58</v>
      </c>
      <c r="F404" s="79"/>
      <c r="G404" s="70">
        <f t="shared" ref="G404:I405" si="161">G405</f>
        <v>4746400</v>
      </c>
      <c r="H404" s="70">
        <f t="shared" si="161"/>
        <v>4746400</v>
      </c>
      <c r="I404" s="70">
        <f t="shared" si="161"/>
        <v>4746400</v>
      </c>
      <c r="J404" s="107"/>
      <c r="P404" s="107"/>
      <c r="Q404" s="107"/>
      <c r="R404" s="107"/>
      <c r="S404" s="107"/>
      <c r="T404" s="107"/>
    </row>
    <row r="405" spans="1:20" s="84" customFormat="1" ht="25.5" customHeight="1" x14ac:dyDescent="0.25">
      <c r="A405" s="78" t="s">
        <v>199</v>
      </c>
      <c r="B405" s="120">
        <v>793</v>
      </c>
      <c r="C405" s="79" t="s">
        <v>10</v>
      </c>
      <c r="D405" s="79" t="s">
        <v>14</v>
      </c>
      <c r="E405" s="79" t="s">
        <v>58</v>
      </c>
      <c r="F405" s="79" t="s">
        <v>26</v>
      </c>
      <c r="G405" s="70">
        <f t="shared" si="161"/>
        <v>4746400</v>
      </c>
      <c r="H405" s="70">
        <f t="shared" si="161"/>
        <v>4746400</v>
      </c>
      <c r="I405" s="70">
        <f t="shared" si="161"/>
        <v>4746400</v>
      </c>
      <c r="J405" s="107"/>
      <c r="P405" s="107"/>
      <c r="Q405" s="107"/>
      <c r="R405" s="107"/>
      <c r="S405" s="107"/>
      <c r="T405" s="107"/>
    </row>
    <row r="406" spans="1:20" s="84" customFormat="1" ht="25.5" customHeight="1" x14ac:dyDescent="0.25">
      <c r="A406" s="78" t="s">
        <v>27</v>
      </c>
      <c r="B406" s="120">
        <v>793</v>
      </c>
      <c r="C406" s="79" t="s">
        <v>10</v>
      </c>
      <c r="D406" s="79" t="s">
        <v>14</v>
      </c>
      <c r="E406" s="79" t="s">
        <v>58</v>
      </c>
      <c r="F406" s="79" t="s">
        <v>28</v>
      </c>
      <c r="G406" s="70">
        <f>прил4.!G162</f>
        <v>4746400</v>
      </c>
      <c r="H406" s="70">
        <f>прил4.!H162</f>
        <v>4746400</v>
      </c>
      <c r="I406" s="70">
        <f>прил4.!I162</f>
        <v>4746400</v>
      </c>
      <c r="J406" s="107"/>
      <c r="P406" s="107"/>
      <c r="Q406" s="107"/>
      <c r="R406" s="107"/>
      <c r="S406" s="107"/>
      <c r="T406" s="107"/>
    </row>
    <row r="407" spans="1:20" s="84" customFormat="1" ht="31.5" customHeight="1" x14ac:dyDescent="0.25">
      <c r="A407" s="78" t="s">
        <v>330</v>
      </c>
      <c r="B407" s="120">
        <v>795</v>
      </c>
      <c r="C407" s="79" t="s">
        <v>98</v>
      </c>
      <c r="D407" s="79" t="s">
        <v>49</v>
      </c>
      <c r="E407" s="79" t="s">
        <v>59</v>
      </c>
      <c r="F407" s="79"/>
      <c r="G407" s="70">
        <f t="shared" ref="G407:I408" si="162">G408</f>
        <v>2000000</v>
      </c>
      <c r="H407" s="70">
        <f t="shared" si="162"/>
        <v>1000000</v>
      </c>
      <c r="I407" s="70">
        <f t="shared" si="162"/>
        <v>1000000</v>
      </c>
      <c r="J407" s="107"/>
      <c r="P407" s="107"/>
      <c r="Q407" s="107"/>
      <c r="R407" s="107"/>
      <c r="S407" s="107"/>
      <c r="T407" s="107"/>
    </row>
    <row r="408" spans="1:20" s="84" customFormat="1" ht="21.75" customHeight="1" x14ac:dyDescent="0.25">
      <c r="A408" s="78" t="s">
        <v>199</v>
      </c>
      <c r="B408" s="120">
        <v>793</v>
      </c>
      <c r="C408" s="79" t="s">
        <v>10</v>
      </c>
      <c r="D408" s="79" t="s">
        <v>14</v>
      </c>
      <c r="E408" s="79" t="s">
        <v>59</v>
      </c>
      <c r="F408" s="79" t="s">
        <v>26</v>
      </c>
      <c r="G408" s="70">
        <f t="shared" si="162"/>
        <v>2000000</v>
      </c>
      <c r="H408" s="70">
        <f t="shared" si="162"/>
        <v>1000000</v>
      </c>
      <c r="I408" s="70">
        <f t="shared" si="162"/>
        <v>1000000</v>
      </c>
      <c r="J408" s="107"/>
      <c r="P408" s="107"/>
      <c r="Q408" s="107"/>
      <c r="R408" s="107"/>
      <c r="S408" s="107"/>
      <c r="T408" s="107"/>
    </row>
    <row r="409" spans="1:20" s="84" customFormat="1" ht="29.25" customHeight="1" x14ac:dyDescent="0.25">
      <c r="A409" s="78" t="s">
        <v>27</v>
      </c>
      <c r="B409" s="120">
        <v>793</v>
      </c>
      <c r="C409" s="79" t="s">
        <v>10</v>
      </c>
      <c r="D409" s="79" t="s">
        <v>14</v>
      </c>
      <c r="E409" s="79" t="s">
        <v>59</v>
      </c>
      <c r="F409" s="79" t="s">
        <v>28</v>
      </c>
      <c r="G409" s="70">
        <f>прил4.!G554</f>
        <v>2000000</v>
      </c>
      <c r="H409" s="70">
        <f>прил4.!H554</f>
        <v>1000000</v>
      </c>
      <c r="I409" s="70">
        <f>прил4.!I554</f>
        <v>1000000</v>
      </c>
      <c r="J409" s="107"/>
      <c r="P409" s="107"/>
      <c r="Q409" s="107"/>
      <c r="R409" s="107"/>
      <c r="S409" s="107"/>
      <c r="T409" s="107"/>
    </row>
    <row r="410" spans="1:20" s="18" customFormat="1" ht="35.25" customHeight="1" x14ac:dyDescent="0.25">
      <c r="A410" s="16" t="s">
        <v>329</v>
      </c>
      <c r="B410" s="14">
        <v>793</v>
      </c>
      <c r="C410" s="15" t="s">
        <v>98</v>
      </c>
      <c r="D410" s="15" t="s">
        <v>10</v>
      </c>
      <c r="E410" s="15" t="s">
        <v>328</v>
      </c>
      <c r="F410" s="15"/>
      <c r="G410" s="70">
        <f t="shared" ref="G410:I411" si="163">G411</f>
        <v>500000</v>
      </c>
      <c r="H410" s="70">
        <f t="shared" si="163"/>
        <v>200000</v>
      </c>
      <c r="I410" s="70">
        <f t="shared" si="163"/>
        <v>200000</v>
      </c>
      <c r="J410" s="137"/>
      <c r="K410" s="154"/>
      <c r="L410" s="154"/>
      <c r="M410" s="154"/>
      <c r="N410" s="154"/>
      <c r="O410" s="154"/>
      <c r="P410" s="154"/>
      <c r="Q410" s="154"/>
      <c r="R410" s="154"/>
    </row>
    <row r="411" spans="1:20" ht="35.25" customHeight="1" x14ac:dyDescent="0.25">
      <c r="A411" s="16" t="s">
        <v>25</v>
      </c>
      <c r="B411" s="14">
        <v>793</v>
      </c>
      <c r="C411" s="15" t="s">
        <v>98</v>
      </c>
      <c r="D411" s="15" t="s">
        <v>10</v>
      </c>
      <c r="E411" s="15" t="s">
        <v>328</v>
      </c>
      <c r="F411" s="15" t="s">
        <v>26</v>
      </c>
      <c r="G411" s="70">
        <f t="shared" si="163"/>
        <v>500000</v>
      </c>
      <c r="H411" s="70">
        <f t="shared" si="163"/>
        <v>200000</v>
      </c>
      <c r="I411" s="70">
        <f t="shared" si="163"/>
        <v>200000</v>
      </c>
      <c r="J411" s="137"/>
      <c r="K411" s="142"/>
      <c r="L411" s="142"/>
      <c r="M411" s="142"/>
      <c r="N411" s="142"/>
      <c r="O411" s="142"/>
      <c r="P411" s="142"/>
      <c r="Q411" s="142"/>
      <c r="R411" s="142"/>
      <c r="S411" s="1"/>
      <c r="T411" s="1"/>
    </row>
    <row r="412" spans="1:20" s="18" customFormat="1" ht="35.25" customHeight="1" x14ac:dyDescent="0.25">
      <c r="A412" s="16" t="s">
        <v>27</v>
      </c>
      <c r="B412" s="14">
        <v>793</v>
      </c>
      <c r="C412" s="15" t="s">
        <v>98</v>
      </c>
      <c r="D412" s="15" t="s">
        <v>10</v>
      </c>
      <c r="E412" s="15" t="s">
        <v>328</v>
      </c>
      <c r="F412" s="15" t="s">
        <v>28</v>
      </c>
      <c r="G412" s="70">
        <f>прил4.!G557</f>
        <v>500000</v>
      </c>
      <c r="H412" s="70">
        <f>прил4.!H557</f>
        <v>200000</v>
      </c>
      <c r="I412" s="70">
        <f>прил4.!I557</f>
        <v>200000</v>
      </c>
      <c r="J412" s="137"/>
      <c r="K412" s="154"/>
      <c r="L412" s="154"/>
      <c r="M412" s="154"/>
      <c r="N412" s="154"/>
      <c r="O412" s="154"/>
      <c r="P412" s="154"/>
      <c r="Q412" s="154"/>
      <c r="R412" s="154"/>
    </row>
    <row r="413" spans="1:20" s="84" customFormat="1" ht="21.75" customHeight="1" x14ac:dyDescent="0.25">
      <c r="A413" s="78" t="s">
        <v>61</v>
      </c>
      <c r="B413" s="120">
        <v>795</v>
      </c>
      <c r="C413" s="79" t="s">
        <v>98</v>
      </c>
      <c r="D413" s="79" t="s">
        <v>49</v>
      </c>
      <c r="E413" s="79" t="s">
        <v>60</v>
      </c>
      <c r="F413" s="79"/>
      <c r="G413" s="70">
        <f t="shared" ref="G413:I414" si="164">G414</f>
        <v>109395</v>
      </c>
      <c r="H413" s="70">
        <f t="shared" si="164"/>
        <v>109395</v>
      </c>
      <c r="I413" s="70">
        <f t="shared" si="164"/>
        <v>109395</v>
      </c>
      <c r="J413" s="107"/>
      <c r="P413" s="107"/>
      <c r="Q413" s="107"/>
      <c r="R413" s="107"/>
      <c r="S413" s="107"/>
      <c r="T413" s="107"/>
    </row>
    <row r="414" spans="1:20" s="84" customFormat="1" ht="21.75" customHeight="1" x14ac:dyDescent="0.25">
      <c r="A414" s="78" t="s">
        <v>199</v>
      </c>
      <c r="B414" s="120">
        <v>793</v>
      </c>
      <c r="C414" s="79" t="s">
        <v>10</v>
      </c>
      <c r="D414" s="79" t="s">
        <v>14</v>
      </c>
      <c r="E414" s="79" t="s">
        <v>60</v>
      </c>
      <c r="F414" s="79" t="s">
        <v>26</v>
      </c>
      <c r="G414" s="70">
        <f t="shared" si="164"/>
        <v>109395</v>
      </c>
      <c r="H414" s="70">
        <f t="shared" si="164"/>
        <v>109395</v>
      </c>
      <c r="I414" s="70">
        <f t="shared" si="164"/>
        <v>109395</v>
      </c>
      <c r="J414" s="107"/>
      <c r="P414" s="107"/>
      <c r="Q414" s="107"/>
      <c r="R414" s="107"/>
      <c r="S414" s="107"/>
      <c r="T414" s="107"/>
    </row>
    <row r="415" spans="1:20" s="84" customFormat="1" ht="30.75" customHeight="1" x14ac:dyDescent="0.25">
      <c r="A415" s="78" t="s">
        <v>27</v>
      </c>
      <c r="B415" s="120">
        <v>793</v>
      </c>
      <c r="C415" s="79" t="s">
        <v>10</v>
      </c>
      <c r="D415" s="79" t="s">
        <v>14</v>
      </c>
      <c r="E415" s="79" t="s">
        <v>60</v>
      </c>
      <c r="F415" s="79" t="s">
        <v>28</v>
      </c>
      <c r="G415" s="70">
        <f>прил4.!G159</f>
        <v>109395</v>
      </c>
      <c r="H415" s="70">
        <f>прил4.!H159</f>
        <v>109395</v>
      </c>
      <c r="I415" s="70">
        <f>прил4.!I159</f>
        <v>109395</v>
      </c>
      <c r="J415" s="81" t="e">
        <f>прил4.!#REF!+прил4.!#REF!</f>
        <v>#REF!</v>
      </c>
      <c r="K415" s="81" t="e">
        <f>прил4.!#REF!+прил4.!#REF!</f>
        <v>#REF!</v>
      </c>
      <c r="L415" s="81" t="e">
        <f>прил4.!#REF!+прил4.!#REF!</f>
        <v>#REF!</v>
      </c>
      <c r="M415" s="81" t="e">
        <f>прил4.!#REF!+прил4.!#REF!</f>
        <v>#REF!</v>
      </c>
      <c r="N415" s="81" t="e">
        <f>прил4.!#REF!+прил4.!#REF!</f>
        <v>#REF!</v>
      </c>
      <c r="O415" s="81" t="e">
        <f>прил4.!#REF!+прил4.!#REF!</f>
        <v>#REF!</v>
      </c>
      <c r="P415" s="107"/>
      <c r="Q415" s="107"/>
      <c r="R415" s="107"/>
      <c r="S415" s="107"/>
      <c r="T415" s="107"/>
    </row>
    <row r="416" spans="1:20" ht="34.5" customHeight="1" x14ac:dyDescent="0.25">
      <c r="A416" s="78" t="s">
        <v>321</v>
      </c>
      <c r="B416" s="14">
        <v>793</v>
      </c>
      <c r="C416" s="15" t="s">
        <v>98</v>
      </c>
      <c r="D416" s="15" t="s">
        <v>19</v>
      </c>
      <c r="E416" s="15" t="s">
        <v>322</v>
      </c>
      <c r="F416" s="15"/>
      <c r="G416" s="70">
        <f t="shared" ref="G416:I417" si="165">G417</f>
        <v>702000</v>
      </c>
      <c r="H416" s="70">
        <f t="shared" si="165"/>
        <v>1400000</v>
      </c>
      <c r="I416" s="70">
        <f t="shared" si="165"/>
        <v>1400000</v>
      </c>
      <c r="J416" s="1"/>
      <c r="P416" s="1"/>
      <c r="Q416" s="1"/>
      <c r="R416" s="1"/>
      <c r="S416" s="1"/>
      <c r="T416" s="1"/>
    </row>
    <row r="417" spans="1:20" ht="34.5" customHeight="1" x14ac:dyDescent="0.25">
      <c r="A417" s="16" t="s">
        <v>25</v>
      </c>
      <c r="B417" s="14">
        <v>793</v>
      </c>
      <c r="C417" s="15" t="s">
        <v>98</v>
      </c>
      <c r="D417" s="15" t="s">
        <v>19</v>
      </c>
      <c r="E417" s="15" t="s">
        <v>322</v>
      </c>
      <c r="F417" s="15" t="s">
        <v>26</v>
      </c>
      <c r="G417" s="70">
        <f t="shared" si="165"/>
        <v>702000</v>
      </c>
      <c r="H417" s="70">
        <f t="shared" si="165"/>
        <v>1400000</v>
      </c>
      <c r="I417" s="70">
        <f t="shared" si="165"/>
        <v>1400000</v>
      </c>
      <c r="J417" s="1"/>
      <c r="P417" s="1"/>
      <c r="Q417" s="1"/>
      <c r="R417" s="1"/>
      <c r="S417" s="1"/>
      <c r="T417" s="1"/>
    </row>
    <row r="418" spans="1:20" ht="34.5" customHeight="1" x14ac:dyDescent="0.25">
      <c r="A418" s="16" t="s">
        <v>27</v>
      </c>
      <c r="B418" s="14">
        <v>793</v>
      </c>
      <c r="C418" s="15" t="s">
        <v>98</v>
      </c>
      <c r="D418" s="15" t="s">
        <v>19</v>
      </c>
      <c r="E418" s="15" t="s">
        <v>322</v>
      </c>
      <c r="F418" s="15" t="s">
        <v>28</v>
      </c>
      <c r="G418" s="70">
        <f>прил4.!G589</f>
        <v>702000</v>
      </c>
      <c r="H418" s="70">
        <f>прил4.!H591</f>
        <v>1400000</v>
      </c>
      <c r="I418" s="70">
        <f>прил4.!I591</f>
        <v>1400000</v>
      </c>
      <c r="J418" s="1"/>
      <c r="P418" s="1"/>
      <c r="Q418" s="1"/>
      <c r="R418" s="1"/>
      <c r="S418" s="1"/>
      <c r="T418" s="1"/>
    </row>
    <row r="419" spans="1:20" s="178" customFormat="1" ht="31.5" customHeight="1" x14ac:dyDescent="0.25">
      <c r="A419" s="96" t="s">
        <v>374</v>
      </c>
      <c r="B419" s="36" t="s">
        <v>67</v>
      </c>
      <c r="C419" s="36" t="s">
        <v>48</v>
      </c>
      <c r="D419" s="36" t="s">
        <v>10</v>
      </c>
      <c r="E419" s="36" t="s">
        <v>181</v>
      </c>
      <c r="F419" s="74"/>
      <c r="G419" s="71">
        <f>G420+G423+G426+G429+G442+G430</f>
        <v>41593959.560000002</v>
      </c>
      <c r="H419" s="71">
        <f t="shared" ref="H419:I419" si="166">H420+H423+H426+H429+H442+H430</f>
        <v>41843511.25</v>
      </c>
      <c r="I419" s="71">
        <f t="shared" si="166"/>
        <v>42159767.669999994</v>
      </c>
      <c r="J419" s="177" t="s">
        <v>257</v>
      </c>
      <c r="P419" s="135"/>
      <c r="Q419" s="177"/>
      <c r="R419" s="177"/>
      <c r="S419" s="177"/>
      <c r="T419" s="2">
        <f>прил4.!G326+прил4.!G368+прил4.!G657+прил4.!N666+прил4.!N677</f>
        <v>1291467</v>
      </c>
    </row>
    <row r="420" spans="1:20" s="43" customFormat="1" ht="52.8" x14ac:dyDescent="0.25">
      <c r="A420" s="16" t="s">
        <v>420</v>
      </c>
      <c r="B420" s="15" t="s">
        <v>67</v>
      </c>
      <c r="C420" s="15" t="s">
        <v>48</v>
      </c>
      <c r="D420" s="15" t="s">
        <v>10</v>
      </c>
      <c r="E420" s="15" t="s">
        <v>182</v>
      </c>
      <c r="F420" s="39"/>
      <c r="G420" s="81">
        <f t="shared" ref="G420:I421" si="167">G421</f>
        <v>1596278</v>
      </c>
      <c r="H420" s="81">
        <f t="shared" si="167"/>
        <v>1655260.04</v>
      </c>
      <c r="I420" s="81">
        <f t="shared" si="167"/>
        <v>1703800.48</v>
      </c>
      <c r="J420" s="97" t="s">
        <v>259</v>
      </c>
      <c r="P420" s="97"/>
      <c r="Q420" s="97"/>
      <c r="R420" s="97"/>
      <c r="S420" s="97"/>
      <c r="T420" s="97">
        <f>G419-T419</f>
        <v>40302492.560000002</v>
      </c>
    </row>
    <row r="421" spans="1:20" s="43" customFormat="1" x14ac:dyDescent="0.25">
      <c r="A421" s="16" t="s">
        <v>86</v>
      </c>
      <c r="B421" s="15" t="s">
        <v>67</v>
      </c>
      <c r="C421" s="15" t="s">
        <v>48</v>
      </c>
      <c r="D421" s="15" t="s">
        <v>10</v>
      </c>
      <c r="E421" s="15" t="s">
        <v>182</v>
      </c>
      <c r="F421" s="15" t="s">
        <v>87</v>
      </c>
      <c r="G421" s="81">
        <f t="shared" si="167"/>
        <v>1596278</v>
      </c>
      <c r="H421" s="81">
        <f t="shared" si="167"/>
        <v>1655260.04</v>
      </c>
      <c r="I421" s="81">
        <f t="shared" si="167"/>
        <v>1703800.48</v>
      </c>
      <c r="J421" s="97" t="s">
        <v>260</v>
      </c>
      <c r="P421" s="97"/>
      <c r="Q421" s="97"/>
      <c r="R421" s="97"/>
      <c r="S421" s="97"/>
      <c r="T421" s="97"/>
    </row>
    <row r="422" spans="1:20" s="43" customFormat="1" x14ac:dyDescent="0.25">
      <c r="A422" s="16" t="s">
        <v>221</v>
      </c>
      <c r="B422" s="15" t="s">
        <v>67</v>
      </c>
      <c r="C422" s="15" t="s">
        <v>48</v>
      </c>
      <c r="D422" s="15" t="s">
        <v>10</v>
      </c>
      <c r="E422" s="15" t="s">
        <v>182</v>
      </c>
      <c r="F422" s="15" t="s">
        <v>222</v>
      </c>
      <c r="G422" s="81">
        <f>прил4.!G329+прил4.!G660+прил4.!G371+прил4.!G722</f>
        <v>1596278</v>
      </c>
      <c r="H422" s="81">
        <f>прил4.!H329+прил4.!H660+прил4.!H371+прил4.!H722</f>
        <v>1655260.04</v>
      </c>
      <c r="I422" s="81">
        <f>прил4.!I329+прил4.!I660+прил4.!I371+прил4.!I722</f>
        <v>1703800.48</v>
      </c>
      <c r="J422" s="97" t="s">
        <v>261</v>
      </c>
      <c r="P422" s="97"/>
      <c r="Q422" s="97"/>
      <c r="R422" s="97"/>
      <c r="S422" s="97"/>
      <c r="T422" s="97"/>
    </row>
    <row r="423" spans="1:20" ht="25.5" customHeight="1" x14ac:dyDescent="0.25">
      <c r="A423" s="16" t="s">
        <v>280</v>
      </c>
      <c r="B423" s="14">
        <v>793</v>
      </c>
      <c r="C423" s="15" t="s">
        <v>48</v>
      </c>
      <c r="D423" s="15" t="s">
        <v>49</v>
      </c>
      <c r="E423" s="15" t="s">
        <v>288</v>
      </c>
      <c r="F423" s="15"/>
      <c r="G423" s="81">
        <f t="shared" ref="G423:I424" si="168">G424</f>
        <v>473780</v>
      </c>
      <c r="H423" s="81">
        <f t="shared" si="168"/>
        <v>550440</v>
      </c>
      <c r="I423" s="81">
        <f t="shared" si="168"/>
        <v>645900</v>
      </c>
      <c r="J423" s="2" t="e">
        <f>J419+J420+J421+J422+#REF!+#REF!</f>
        <v>#REF!</v>
      </c>
    </row>
    <row r="424" spans="1:20" ht="25.5" customHeight="1" x14ac:dyDescent="0.25">
      <c r="A424" s="16" t="s">
        <v>224</v>
      </c>
      <c r="B424" s="14">
        <v>793</v>
      </c>
      <c r="C424" s="15" t="s">
        <v>48</v>
      </c>
      <c r="D424" s="15" t="s">
        <v>49</v>
      </c>
      <c r="E424" s="15" t="s">
        <v>288</v>
      </c>
      <c r="F424" s="15" t="s">
        <v>87</v>
      </c>
      <c r="G424" s="81">
        <f t="shared" si="168"/>
        <v>473780</v>
      </c>
      <c r="H424" s="81">
        <f t="shared" si="168"/>
        <v>550440</v>
      </c>
      <c r="I424" s="81">
        <f t="shared" si="168"/>
        <v>645900</v>
      </c>
    </row>
    <row r="425" spans="1:20" ht="25.5" customHeight="1" x14ac:dyDescent="0.25">
      <c r="A425" s="16" t="s">
        <v>285</v>
      </c>
      <c r="B425" s="14">
        <v>793</v>
      </c>
      <c r="C425" s="15" t="s">
        <v>48</v>
      </c>
      <c r="D425" s="15" t="s">
        <v>49</v>
      </c>
      <c r="E425" s="15" t="s">
        <v>288</v>
      </c>
      <c r="F425" s="15" t="s">
        <v>284</v>
      </c>
      <c r="G425" s="81">
        <f>прил4.!G672</f>
        <v>473780</v>
      </c>
      <c r="H425" s="81">
        <f>прил4.!H672</f>
        <v>550440</v>
      </c>
      <c r="I425" s="81">
        <f>прил4.!I672</f>
        <v>645900</v>
      </c>
    </row>
    <row r="426" spans="1:20" s="18" customFormat="1" ht="26.4" x14ac:dyDescent="0.25">
      <c r="A426" s="108" t="s">
        <v>414</v>
      </c>
      <c r="B426" s="14">
        <v>793</v>
      </c>
      <c r="C426" s="15" t="s">
        <v>48</v>
      </c>
      <c r="D426" s="15" t="s">
        <v>49</v>
      </c>
      <c r="E426" s="15" t="s">
        <v>340</v>
      </c>
      <c r="F426" s="15"/>
      <c r="G426" s="70">
        <f t="shared" ref="G426:I427" si="169">G427</f>
        <v>1305000</v>
      </c>
      <c r="H426" s="70">
        <f t="shared" si="169"/>
        <v>1440000</v>
      </c>
      <c r="I426" s="70">
        <f t="shared" si="169"/>
        <v>1440000</v>
      </c>
      <c r="J426" s="137"/>
      <c r="K426" s="154"/>
      <c r="L426" s="154"/>
      <c r="M426" s="154"/>
      <c r="N426" s="154"/>
      <c r="O426" s="154"/>
      <c r="P426" s="154"/>
      <c r="Q426" s="154"/>
      <c r="R426" s="154"/>
    </row>
    <row r="427" spans="1:20" s="18" customFormat="1" ht="36" customHeight="1" x14ac:dyDescent="0.25">
      <c r="A427" s="16" t="s">
        <v>224</v>
      </c>
      <c r="B427" s="14">
        <v>793</v>
      </c>
      <c r="C427" s="15" t="s">
        <v>48</v>
      </c>
      <c r="D427" s="15" t="s">
        <v>49</v>
      </c>
      <c r="E427" s="15" t="s">
        <v>340</v>
      </c>
      <c r="F427" s="15" t="s">
        <v>87</v>
      </c>
      <c r="G427" s="70">
        <f>G428</f>
        <v>1305000</v>
      </c>
      <c r="H427" s="70">
        <f t="shared" si="169"/>
        <v>1440000</v>
      </c>
      <c r="I427" s="70">
        <f t="shared" si="169"/>
        <v>1440000</v>
      </c>
      <c r="J427" s="137"/>
      <c r="K427" s="154"/>
      <c r="L427" s="154"/>
      <c r="M427" s="154"/>
      <c r="N427" s="154"/>
      <c r="O427" s="154"/>
      <c r="P427" s="154"/>
      <c r="Q427" s="154"/>
      <c r="R427" s="154"/>
    </row>
    <row r="428" spans="1:20" s="18" customFormat="1" ht="29.25" customHeight="1" x14ac:dyDescent="0.25">
      <c r="A428" s="16" t="s">
        <v>88</v>
      </c>
      <c r="B428" s="14">
        <v>793</v>
      </c>
      <c r="C428" s="15" t="s">
        <v>48</v>
      </c>
      <c r="D428" s="15" t="s">
        <v>49</v>
      </c>
      <c r="E428" s="15" t="s">
        <v>340</v>
      </c>
      <c r="F428" s="15" t="s">
        <v>89</v>
      </c>
      <c r="G428" s="70">
        <f>прил4.!G675</f>
        <v>1305000</v>
      </c>
      <c r="H428" s="70">
        <f>прил4.!H675</f>
        <v>1440000</v>
      </c>
      <c r="I428" s="70">
        <f>прил4.!I675</f>
        <v>1440000</v>
      </c>
      <c r="J428" s="137"/>
      <c r="K428" s="154"/>
      <c r="L428" s="154"/>
      <c r="M428" s="154"/>
      <c r="N428" s="154"/>
      <c r="O428" s="154"/>
      <c r="P428" s="154"/>
      <c r="Q428" s="154"/>
      <c r="R428" s="154"/>
    </row>
    <row r="429" spans="1:20" s="46" customFormat="1" ht="70.5" hidden="1" customHeight="1" x14ac:dyDescent="0.25">
      <c r="A429" s="271" t="s">
        <v>502</v>
      </c>
      <c r="B429" s="14">
        <v>793</v>
      </c>
      <c r="C429" s="15" t="s">
        <v>48</v>
      </c>
      <c r="D429" s="15" t="s">
        <v>38</v>
      </c>
      <c r="E429" s="15" t="s">
        <v>503</v>
      </c>
      <c r="F429" s="15"/>
      <c r="G429" s="70">
        <f>G433+G436+G439</f>
        <v>37920961.560000002</v>
      </c>
      <c r="H429" s="70">
        <f t="shared" ref="H429:I429" si="170">H433+H436+H439</f>
        <v>38037811.210000001</v>
      </c>
      <c r="I429" s="70">
        <f t="shared" si="170"/>
        <v>38210067.189999998</v>
      </c>
      <c r="J429" s="136"/>
      <c r="K429" s="58"/>
      <c r="L429" s="58"/>
      <c r="M429" s="58"/>
      <c r="N429" s="132"/>
      <c r="O429" s="58"/>
      <c r="P429" s="58"/>
      <c r="Q429" s="58"/>
      <c r="R429" s="58"/>
    </row>
    <row r="430" spans="1:20" s="43" customFormat="1" ht="39.6" x14ac:dyDescent="0.25">
      <c r="A430" s="78" t="s">
        <v>549</v>
      </c>
      <c r="B430" s="15" t="s">
        <v>301</v>
      </c>
      <c r="C430" s="15" t="s">
        <v>10</v>
      </c>
      <c r="D430" s="15" t="s">
        <v>14</v>
      </c>
      <c r="E430" s="15" t="s">
        <v>526</v>
      </c>
      <c r="F430" s="39"/>
      <c r="G430" s="81">
        <f t="shared" ref="G430:I431" si="171">G431</f>
        <v>137940</v>
      </c>
      <c r="H430" s="81">
        <f t="shared" si="171"/>
        <v>0</v>
      </c>
      <c r="I430" s="81">
        <f t="shared" si="171"/>
        <v>0</v>
      </c>
      <c r="J430" s="97" t="s">
        <v>259</v>
      </c>
      <c r="P430" s="97"/>
      <c r="Q430" s="97"/>
      <c r="R430" s="97"/>
      <c r="S430" s="97"/>
      <c r="T430" s="97">
        <f>G429-T429</f>
        <v>37920961.560000002</v>
      </c>
    </row>
    <row r="431" spans="1:20" s="43" customFormat="1" x14ac:dyDescent="0.25">
      <c r="A431" s="16" t="s">
        <v>224</v>
      </c>
      <c r="B431" s="15" t="s">
        <v>301</v>
      </c>
      <c r="C431" s="15" t="s">
        <v>10</v>
      </c>
      <c r="D431" s="15" t="s">
        <v>14</v>
      </c>
      <c r="E431" s="15" t="s">
        <v>526</v>
      </c>
      <c r="F431" s="15" t="s">
        <v>87</v>
      </c>
      <c r="G431" s="81">
        <f t="shared" si="171"/>
        <v>137940</v>
      </c>
      <c r="H431" s="81">
        <f t="shared" si="171"/>
        <v>0</v>
      </c>
      <c r="I431" s="81">
        <f t="shared" si="171"/>
        <v>0</v>
      </c>
      <c r="J431" s="97" t="s">
        <v>260</v>
      </c>
      <c r="P431" s="97"/>
      <c r="Q431" s="97"/>
      <c r="R431" s="97"/>
      <c r="S431" s="97"/>
      <c r="T431" s="97"/>
    </row>
    <row r="432" spans="1:20" s="43" customFormat="1" ht="26.4" x14ac:dyDescent="0.25">
      <c r="A432" s="16" t="s">
        <v>88</v>
      </c>
      <c r="B432" s="15" t="s">
        <v>301</v>
      </c>
      <c r="C432" s="15" t="s">
        <v>10</v>
      </c>
      <c r="D432" s="15" t="s">
        <v>14</v>
      </c>
      <c r="E432" s="15" t="s">
        <v>526</v>
      </c>
      <c r="F432" s="15" t="s">
        <v>89</v>
      </c>
      <c r="G432" s="81">
        <f>прил4.!G669</f>
        <v>137940</v>
      </c>
      <c r="H432" s="81">
        <f>прил4.!H669</f>
        <v>0</v>
      </c>
      <c r="I432" s="81">
        <f>прил4.!I669</f>
        <v>0</v>
      </c>
      <c r="J432" s="97" t="s">
        <v>261</v>
      </c>
      <c r="P432" s="97"/>
      <c r="Q432" s="97"/>
      <c r="R432" s="97"/>
      <c r="S432" s="97"/>
      <c r="T432" s="97"/>
    </row>
    <row r="433" spans="1:20" ht="96" customHeight="1" x14ac:dyDescent="0.25">
      <c r="A433" s="117" t="s">
        <v>492</v>
      </c>
      <c r="B433" s="120">
        <v>793</v>
      </c>
      <c r="C433" s="79" t="s">
        <v>48</v>
      </c>
      <c r="D433" s="79" t="s">
        <v>38</v>
      </c>
      <c r="E433" s="79" t="s">
        <v>517</v>
      </c>
      <c r="F433" s="79"/>
      <c r="G433" s="81">
        <f t="shared" ref="G433:I434" si="172">G434</f>
        <v>27092376.989999998</v>
      </c>
      <c r="H433" s="81">
        <f t="shared" si="172"/>
        <v>27092376.989999998</v>
      </c>
      <c r="I433" s="81">
        <f t="shared" si="172"/>
        <v>27092376.989999998</v>
      </c>
      <c r="J433" s="2">
        <v>189200</v>
      </c>
    </row>
    <row r="434" spans="1:20" ht="33" customHeight="1" x14ac:dyDescent="0.25">
      <c r="A434" s="78" t="s">
        <v>214</v>
      </c>
      <c r="B434" s="120">
        <v>793</v>
      </c>
      <c r="C434" s="79" t="s">
        <v>48</v>
      </c>
      <c r="D434" s="79" t="s">
        <v>38</v>
      </c>
      <c r="E434" s="79" t="s">
        <v>517</v>
      </c>
      <c r="F434" s="79" t="s">
        <v>215</v>
      </c>
      <c r="G434" s="81">
        <f t="shared" si="172"/>
        <v>27092376.989999998</v>
      </c>
      <c r="H434" s="81">
        <f t="shared" si="172"/>
        <v>27092376.989999998</v>
      </c>
      <c r="I434" s="81">
        <f t="shared" si="172"/>
        <v>27092376.989999998</v>
      </c>
      <c r="J434" s="2">
        <v>270072</v>
      </c>
    </row>
    <row r="435" spans="1:20" ht="21.75" customHeight="1" x14ac:dyDescent="0.25">
      <c r="A435" s="78" t="s">
        <v>216</v>
      </c>
      <c r="B435" s="120">
        <v>793</v>
      </c>
      <c r="C435" s="79" t="s">
        <v>48</v>
      </c>
      <c r="D435" s="79" t="s">
        <v>38</v>
      </c>
      <c r="E435" s="79" t="s">
        <v>517</v>
      </c>
      <c r="F435" s="79" t="s">
        <v>217</v>
      </c>
      <c r="G435" s="81">
        <f>прил4.!G684</f>
        <v>27092376.989999998</v>
      </c>
      <c r="H435" s="81">
        <f>прил4.!H684</f>
        <v>27092376.989999998</v>
      </c>
      <c r="I435" s="81">
        <f>прил4.!I684</f>
        <v>27092376.989999998</v>
      </c>
      <c r="J435" s="2">
        <v>4607800</v>
      </c>
    </row>
    <row r="436" spans="1:20" ht="118.5" customHeight="1" x14ac:dyDescent="0.25">
      <c r="A436" s="276" t="s">
        <v>512</v>
      </c>
      <c r="B436" s="120">
        <v>793</v>
      </c>
      <c r="C436" s="79" t="s">
        <v>48</v>
      </c>
      <c r="D436" s="79" t="s">
        <v>38</v>
      </c>
      <c r="E436" s="79" t="s">
        <v>516</v>
      </c>
      <c r="F436" s="79"/>
      <c r="G436" s="81">
        <f>G437</f>
        <v>3624555</v>
      </c>
      <c r="H436" s="81">
        <f t="shared" ref="H436:I436" si="173">H437</f>
        <v>3624555</v>
      </c>
      <c r="I436" s="81">
        <f t="shared" si="173"/>
        <v>3624555</v>
      </c>
      <c r="J436" s="136"/>
      <c r="K436" s="69"/>
      <c r="L436" s="69"/>
      <c r="M436" s="69"/>
      <c r="N436" s="69"/>
      <c r="O436" s="69"/>
      <c r="P436" s="69"/>
      <c r="Q436" s="69"/>
      <c r="R436" s="69"/>
      <c r="S436" s="1"/>
      <c r="T436" s="1"/>
    </row>
    <row r="437" spans="1:20" ht="37.5" customHeight="1" x14ac:dyDescent="0.25">
      <c r="A437" s="78" t="s">
        <v>214</v>
      </c>
      <c r="B437" s="120">
        <v>793</v>
      </c>
      <c r="C437" s="79" t="s">
        <v>48</v>
      </c>
      <c r="D437" s="79" t="s">
        <v>38</v>
      </c>
      <c r="E437" s="79" t="s">
        <v>516</v>
      </c>
      <c r="F437" s="79" t="s">
        <v>215</v>
      </c>
      <c r="G437" s="81">
        <f>G438</f>
        <v>3624555</v>
      </c>
      <c r="H437" s="81">
        <f>H438</f>
        <v>3624555</v>
      </c>
      <c r="I437" s="81">
        <f>I438</f>
        <v>3624555</v>
      </c>
      <c r="J437" s="136"/>
      <c r="K437" s="69"/>
      <c r="L437" s="69"/>
      <c r="M437" s="69"/>
      <c r="N437" s="69"/>
      <c r="O437" s="69"/>
      <c r="P437" s="69"/>
      <c r="Q437" s="69"/>
      <c r="R437" s="69"/>
      <c r="S437" s="1"/>
      <c r="T437" s="1"/>
    </row>
    <row r="438" spans="1:20" ht="21" customHeight="1" x14ac:dyDescent="0.25">
      <c r="A438" s="78" t="s">
        <v>216</v>
      </c>
      <c r="B438" s="120">
        <v>793</v>
      </c>
      <c r="C438" s="79" t="s">
        <v>48</v>
      </c>
      <c r="D438" s="79" t="s">
        <v>38</v>
      </c>
      <c r="E438" s="79" t="s">
        <v>516</v>
      </c>
      <c r="F438" s="79" t="s">
        <v>217</v>
      </c>
      <c r="G438" s="81">
        <f>прил4.!G681</f>
        <v>3624555</v>
      </c>
      <c r="H438" s="81">
        <f>прил4.!H681</f>
        <v>3624555</v>
      </c>
      <c r="I438" s="81">
        <f>прил4.!I681</f>
        <v>3624555</v>
      </c>
      <c r="J438" s="136"/>
      <c r="K438" s="69"/>
      <c r="L438" s="69"/>
      <c r="M438" s="69"/>
      <c r="N438" s="69"/>
      <c r="O438" s="69"/>
      <c r="P438" s="69"/>
      <c r="Q438" s="69"/>
      <c r="R438" s="69"/>
      <c r="S438" s="1"/>
      <c r="T438" s="1"/>
    </row>
    <row r="439" spans="1:20" ht="108" customHeight="1" x14ac:dyDescent="0.25">
      <c r="A439" s="277" t="s">
        <v>513</v>
      </c>
      <c r="B439" s="120">
        <v>793</v>
      </c>
      <c r="C439" s="79" t="s">
        <v>48</v>
      </c>
      <c r="D439" s="79" t="s">
        <v>38</v>
      </c>
      <c r="E439" s="79" t="s">
        <v>518</v>
      </c>
      <c r="F439" s="79"/>
      <c r="G439" s="81">
        <f t="shared" ref="G439:I440" si="174">G440</f>
        <v>7204029.5700000003</v>
      </c>
      <c r="H439" s="81">
        <f t="shared" si="174"/>
        <v>7320879.2199999997</v>
      </c>
      <c r="I439" s="81">
        <f t="shared" si="174"/>
        <v>7493135.2000000002</v>
      </c>
      <c r="J439" s="136"/>
      <c r="K439" s="69"/>
      <c r="L439" s="69"/>
      <c r="M439" s="69"/>
      <c r="N439" s="69"/>
      <c r="O439" s="69"/>
      <c r="P439" s="69"/>
      <c r="Q439" s="69"/>
      <c r="R439" s="69"/>
      <c r="S439" s="1"/>
      <c r="T439" s="1"/>
    </row>
    <row r="440" spans="1:20" ht="26.4" x14ac:dyDescent="0.25">
      <c r="A440" s="78" t="s">
        <v>214</v>
      </c>
      <c r="B440" s="120">
        <v>793</v>
      </c>
      <c r="C440" s="79" t="s">
        <v>48</v>
      </c>
      <c r="D440" s="79" t="s">
        <v>38</v>
      </c>
      <c r="E440" s="79" t="s">
        <v>518</v>
      </c>
      <c r="F440" s="79" t="s">
        <v>215</v>
      </c>
      <c r="G440" s="81">
        <f t="shared" si="174"/>
        <v>7204029.5700000003</v>
      </c>
      <c r="H440" s="81">
        <f t="shared" si="174"/>
        <v>7320879.2199999997</v>
      </c>
      <c r="I440" s="81">
        <f t="shared" si="174"/>
        <v>7493135.2000000002</v>
      </c>
      <c r="J440" s="136"/>
      <c r="K440" s="69"/>
      <c r="L440" s="69"/>
      <c r="M440" s="69"/>
      <c r="N440" s="69"/>
      <c r="O440" s="69"/>
      <c r="P440" s="69"/>
      <c r="Q440" s="69"/>
      <c r="R440" s="69"/>
      <c r="S440" s="1"/>
      <c r="T440" s="1"/>
    </row>
    <row r="441" spans="1:20" x14ac:dyDescent="0.25">
      <c r="A441" s="78" t="s">
        <v>216</v>
      </c>
      <c r="B441" s="120">
        <v>793</v>
      </c>
      <c r="C441" s="79" t="s">
        <v>48</v>
      </c>
      <c r="D441" s="79" t="s">
        <v>38</v>
      </c>
      <c r="E441" s="79" t="s">
        <v>518</v>
      </c>
      <c r="F441" s="79" t="s">
        <v>217</v>
      </c>
      <c r="G441" s="81">
        <f>прил4.!G687</f>
        <v>7204029.5700000003</v>
      </c>
      <c r="H441" s="81">
        <f>прил4.!H687</f>
        <v>7320879.2199999997</v>
      </c>
      <c r="I441" s="81">
        <f>прил4.!I687</f>
        <v>7493135.2000000002</v>
      </c>
      <c r="J441" s="136"/>
      <c r="K441" s="69"/>
      <c r="L441" s="69"/>
      <c r="M441" s="69"/>
      <c r="N441" s="69"/>
      <c r="O441" s="69"/>
      <c r="P441" s="69"/>
      <c r="Q441" s="69"/>
      <c r="R441" s="69"/>
      <c r="S441" s="1"/>
      <c r="T441" s="1"/>
    </row>
    <row r="442" spans="1:20" s="18" customFormat="1" ht="33" customHeight="1" x14ac:dyDescent="0.25">
      <c r="A442" s="78" t="s">
        <v>225</v>
      </c>
      <c r="B442" s="120">
        <v>793</v>
      </c>
      <c r="C442" s="79" t="s">
        <v>48</v>
      </c>
      <c r="D442" s="79" t="s">
        <v>38</v>
      </c>
      <c r="E442" s="79" t="s">
        <v>183</v>
      </c>
      <c r="F442" s="79"/>
      <c r="G442" s="81">
        <f t="shared" ref="G442:I443" si="175">G443</f>
        <v>160000</v>
      </c>
      <c r="H442" s="81">
        <f t="shared" si="175"/>
        <v>160000</v>
      </c>
      <c r="I442" s="81">
        <f t="shared" si="175"/>
        <v>160000</v>
      </c>
      <c r="J442" s="17">
        <v>10872600</v>
      </c>
      <c r="P442" s="17"/>
      <c r="Q442" s="17"/>
      <c r="R442" s="17"/>
      <c r="S442" s="17"/>
      <c r="T442" s="17"/>
    </row>
    <row r="443" spans="1:20" s="18" customFormat="1" ht="31.5" customHeight="1" x14ac:dyDescent="0.25">
      <c r="A443" s="78" t="s">
        <v>223</v>
      </c>
      <c r="B443" s="120">
        <v>793</v>
      </c>
      <c r="C443" s="79" t="s">
        <v>48</v>
      </c>
      <c r="D443" s="79" t="s">
        <v>38</v>
      </c>
      <c r="E443" s="79" t="s">
        <v>183</v>
      </c>
      <c r="F443" s="79" t="s">
        <v>87</v>
      </c>
      <c r="G443" s="81">
        <f t="shared" si="175"/>
        <v>160000</v>
      </c>
      <c r="H443" s="81">
        <f t="shared" si="175"/>
        <v>160000</v>
      </c>
      <c r="I443" s="81">
        <f t="shared" si="175"/>
        <v>160000</v>
      </c>
      <c r="J443" s="17">
        <v>200000</v>
      </c>
      <c r="P443" s="17"/>
      <c r="Q443" s="17"/>
      <c r="R443" s="17"/>
      <c r="S443" s="17"/>
      <c r="T443" s="17"/>
    </row>
    <row r="444" spans="1:20" s="18" customFormat="1" x14ac:dyDescent="0.25">
      <c r="A444" s="78" t="s">
        <v>221</v>
      </c>
      <c r="B444" s="120">
        <v>793</v>
      </c>
      <c r="C444" s="79" t="s">
        <v>48</v>
      </c>
      <c r="D444" s="79" t="s">
        <v>38</v>
      </c>
      <c r="E444" s="79" t="s">
        <v>183</v>
      </c>
      <c r="F444" s="79" t="s">
        <v>222</v>
      </c>
      <c r="G444" s="81">
        <f>прил4.!G690</f>
        <v>160000</v>
      </c>
      <c r="H444" s="81">
        <f>прил4.!H690</f>
        <v>160000</v>
      </c>
      <c r="I444" s="81">
        <f>прил4.!I690</f>
        <v>160000</v>
      </c>
      <c r="J444" s="17">
        <f>SUM(J429:J443)</f>
        <v>16139672</v>
      </c>
      <c r="P444" s="17"/>
      <c r="Q444" s="17"/>
      <c r="R444" s="17"/>
      <c r="S444" s="17"/>
      <c r="T444" s="17"/>
    </row>
    <row r="445" spans="1:20" s="175" customFormat="1" ht="40.5" customHeight="1" x14ac:dyDescent="0.25">
      <c r="A445" s="96" t="s">
        <v>465</v>
      </c>
      <c r="B445" s="125">
        <v>793</v>
      </c>
      <c r="C445" s="126" t="s">
        <v>38</v>
      </c>
      <c r="D445" s="126" t="s">
        <v>79</v>
      </c>
      <c r="E445" s="126" t="s">
        <v>255</v>
      </c>
      <c r="F445" s="126"/>
      <c r="G445" s="127">
        <f>G446</f>
        <v>50000</v>
      </c>
      <c r="H445" s="127">
        <f t="shared" ref="H445:I446" si="176">H446</f>
        <v>50000</v>
      </c>
      <c r="I445" s="127">
        <f t="shared" si="176"/>
        <v>50000</v>
      </c>
      <c r="J445" s="204"/>
      <c r="K445" s="227"/>
      <c r="L445" s="227"/>
      <c r="M445" s="227"/>
      <c r="N445" s="227"/>
      <c r="O445" s="227"/>
      <c r="P445" s="227"/>
      <c r="Q445" s="227"/>
      <c r="R445" s="227"/>
    </row>
    <row r="446" spans="1:20" s="18" customFormat="1" ht="40.5" customHeight="1" x14ac:dyDescent="0.25">
      <c r="A446" s="78" t="s">
        <v>254</v>
      </c>
      <c r="B446" s="120">
        <v>793</v>
      </c>
      <c r="C446" s="79" t="s">
        <v>38</v>
      </c>
      <c r="D446" s="79" t="s">
        <v>79</v>
      </c>
      <c r="E446" s="79" t="s">
        <v>252</v>
      </c>
      <c r="F446" s="79"/>
      <c r="G446" s="81">
        <f>G447</f>
        <v>50000</v>
      </c>
      <c r="H446" s="81">
        <f t="shared" si="176"/>
        <v>50000</v>
      </c>
      <c r="I446" s="81">
        <f t="shared" si="176"/>
        <v>50000</v>
      </c>
      <c r="J446" s="136"/>
      <c r="K446" s="141"/>
      <c r="L446" s="141"/>
      <c r="M446" s="141"/>
      <c r="N446" s="141"/>
      <c r="O446" s="141"/>
      <c r="P446" s="141"/>
      <c r="Q446" s="141"/>
      <c r="R446" s="141"/>
    </row>
    <row r="447" spans="1:20" ht="30.75" customHeight="1" x14ac:dyDescent="0.25">
      <c r="A447" s="78" t="s">
        <v>25</v>
      </c>
      <c r="B447" s="120">
        <v>793</v>
      </c>
      <c r="C447" s="79" t="s">
        <v>38</v>
      </c>
      <c r="D447" s="79" t="s">
        <v>79</v>
      </c>
      <c r="E447" s="79" t="s">
        <v>252</v>
      </c>
      <c r="F447" s="79" t="s">
        <v>26</v>
      </c>
      <c r="G447" s="81">
        <f t="shared" ref="G447:I447" si="177">G448</f>
        <v>50000</v>
      </c>
      <c r="H447" s="81">
        <f t="shared" si="177"/>
        <v>50000</v>
      </c>
      <c r="I447" s="81">
        <f t="shared" si="177"/>
        <v>50000</v>
      </c>
      <c r="J447" s="136"/>
      <c r="K447" s="69"/>
      <c r="L447" s="69"/>
      <c r="M447" s="69"/>
      <c r="N447" s="69"/>
      <c r="O447" s="69"/>
      <c r="P447" s="69"/>
      <c r="Q447" s="69"/>
      <c r="R447" s="69"/>
      <c r="S447" s="1"/>
      <c r="T447" s="1"/>
    </row>
    <row r="448" spans="1:20" s="18" customFormat="1" ht="34.5" customHeight="1" x14ac:dyDescent="0.25">
      <c r="A448" s="78" t="s">
        <v>27</v>
      </c>
      <c r="B448" s="120">
        <v>793</v>
      </c>
      <c r="C448" s="79" t="s">
        <v>38</v>
      </c>
      <c r="D448" s="79" t="s">
        <v>79</v>
      </c>
      <c r="E448" s="79" t="s">
        <v>252</v>
      </c>
      <c r="F448" s="79" t="s">
        <v>28</v>
      </c>
      <c r="G448" s="81">
        <f>прил4.!G539</f>
        <v>50000</v>
      </c>
      <c r="H448" s="81">
        <f>прил4.!H539</f>
        <v>50000</v>
      </c>
      <c r="I448" s="81">
        <f>прил4.!I539</f>
        <v>50000</v>
      </c>
      <c r="J448" s="136" t="e">
        <f>G448+#REF!+#REF!+#REF!</f>
        <v>#REF!</v>
      </c>
      <c r="K448" s="141"/>
      <c r="L448" s="141"/>
      <c r="M448" s="141"/>
      <c r="N448" s="141"/>
      <c r="O448" s="141"/>
      <c r="P448" s="141"/>
      <c r="Q448" s="141"/>
      <c r="R448" s="141"/>
    </row>
    <row r="449" spans="1:21" s="22" customFormat="1" ht="41.25" customHeight="1" x14ac:dyDescent="0.25">
      <c r="A449" s="96" t="s">
        <v>348</v>
      </c>
      <c r="B449" s="125">
        <v>793</v>
      </c>
      <c r="C449" s="126" t="s">
        <v>98</v>
      </c>
      <c r="D449" s="126" t="s">
        <v>49</v>
      </c>
      <c r="E449" s="126" t="s">
        <v>286</v>
      </c>
      <c r="F449" s="126"/>
      <c r="G449" s="127">
        <f>G450+G453+G456+G459</f>
        <v>20828219</v>
      </c>
      <c r="H449" s="127">
        <f t="shared" ref="H449:I449" si="178">H450+H453+H456+H459</f>
        <v>22289212</v>
      </c>
      <c r="I449" s="127">
        <f t="shared" si="178"/>
        <v>23546750</v>
      </c>
      <c r="J449" s="127" t="e">
        <f>+#REF!+J453+J456+J459+#REF!+#REF!+J450</f>
        <v>#REF!</v>
      </c>
      <c r="K449" s="127" t="e">
        <f>+#REF!+K453+K456+K459+#REF!+#REF!+K450</f>
        <v>#REF!</v>
      </c>
      <c r="L449" s="127" t="e">
        <f>+#REF!+L453+L456+L459+#REF!+#REF!+L450</f>
        <v>#REF!</v>
      </c>
      <c r="M449" s="127" t="e">
        <f>+#REF!+M453+M456+M459+#REF!+#REF!+M450</f>
        <v>#REF!</v>
      </c>
      <c r="N449" s="127" t="e">
        <f>+#REF!+N453+N456+N459+#REF!+#REF!+N450</f>
        <v>#REF!</v>
      </c>
      <c r="O449" s="127" t="e">
        <f>+#REF!+O453+O456+O459+#REF!+#REF!+O450</f>
        <v>#REF!</v>
      </c>
      <c r="P449" s="158"/>
      <c r="Q449" s="158"/>
      <c r="R449" s="158"/>
      <c r="T449" s="21" t="e">
        <f>прил4.!G601+прил4.!#REF!</f>
        <v>#REF!</v>
      </c>
      <c r="U449" s="21"/>
    </row>
    <row r="450" spans="1:21" s="18" customFormat="1" ht="39" customHeight="1" x14ac:dyDescent="0.25">
      <c r="A450" s="78" t="s">
        <v>235</v>
      </c>
      <c r="B450" s="120">
        <v>800</v>
      </c>
      <c r="C450" s="79" t="s">
        <v>98</v>
      </c>
      <c r="D450" s="79" t="s">
        <v>49</v>
      </c>
      <c r="E450" s="79" t="s">
        <v>349</v>
      </c>
      <c r="F450" s="79"/>
      <c r="G450" s="81">
        <f>G451</f>
        <v>19278219</v>
      </c>
      <c r="H450" s="81">
        <f t="shared" ref="H450:I450" si="179">H451</f>
        <v>20439212</v>
      </c>
      <c r="I450" s="81">
        <f t="shared" si="179"/>
        <v>21696750</v>
      </c>
      <c r="J450" s="137"/>
      <c r="K450" s="154"/>
      <c r="L450" s="154"/>
      <c r="M450" s="154"/>
      <c r="N450" s="154"/>
      <c r="O450" s="154"/>
      <c r="P450" s="154"/>
      <c r="Q450" s="154"/>
      <c r="R450" s="154"/>
    </row>
    <row r="451" spans="1:21" ht="30.75" customHeight="1" x14ac:dyDescent="0.25">
      <c r="A451" s="78" t="s">
        <v>25</v>
      </c>
      <c r="B451" s="120">
        <v>800</v>
      </c>
      <c r="C451" s="79" t="s">
        <v>98</v>
      </c>
      <c r="D451" s="79" t="s">
        <v>49</v>
      </c>
      <c r="E451" s="79" t="s">
        <v>349</v>
      </c>
      <c r="F451" s="79" t="s">
        <v>26</v>
      </c>
      <c r="G451" s="81">
        <f t="shared" ref="G451:I451" si="180">G452</f>
        <v>19278219</v>
      </c>
      <c r="H451" s="81">
        <f t="shared" si="180"/>
        <v>20439212</v>
      </c>
      <c r="I451" s="81">
        <f t="shared" si="180"/>
        <v>21696750</v>
      </c>
      <c r="J451" s="137"/>
      <c r="K451" s="142"/>
      <c r="L451" s="142"/>
      <c r="M451" s="142"/>
      <c r="N451" s="142"/>
      <c r="O451" s="142"/>
      <c r="P451" s="142"/>
      <c r="Q451" s="142"/>
      <c r="R451" s="142"/>
      <c r="S451" s="1"/>
      <c r="T451" s="1"/>
    </row>
    <row r="452" spans="1:21" s="18" customFormat="1" ht="34.5" customHeight="1" x14ac:dyDescent="0.25">
      <c r="A452" s="78" t="s">
        <v>27</v>
      </c>
      <c r="B452" s="120">
        <v>800</v>
      </c>
      <c r="C452" s="79" t="s">
        <v>98</v>
      </c>
      <c r="D452" s="79" t="s">
        <v>49</v>
      </c>
      <c r="E452" s="79" t="s">
        <v>349</v>
      </c>
      <c r="F452" s="79" t="s">
        <v>28</v>
      </c>
      <c r="G452" s="81">
        <f>прил4.!G604</f>
        <v>19278219</v>
      </c>
      <c r="H452" s="81">
        <f>прил4.!H604</f>
        <v>20439212</v>
      </c>
      <c r="I452" s="81">
        <f>прил4.!I604</f>
        <v>21696750</v>
      </c>
      <c r="J452" s="137"/>
      <c r="K452" s="154"/>
      <c r="L452" s="154"/>
      <c r="M452" s="154"/>
      <c r="N452" s="154"/>
      <c r="O452" s="154"/>
      <c r="P452" s="154"/>
      <c r="Q452" s="154"/>
      <c r="R452" s="154"/>
    </row>
    <row r="453" spans="1:21" x14ac:dyDescent="0.25">
      <c r="A453" s="78" t="s">
        <v>57</v>
      </c>
      <c r="B453" s="120">
        <v>793</v>
      </c>
      <c r="C453" s="79" t="s">
        <v>98</v>
      </c>
      <c r="D453" s="79" t="s">
        <v>49</v>
      </c>
      <c r="E453" s="79" t="s">
        <v>378</v>
      </c>
      <c r="F453" s="79"/>
      <c r="G453" s="81">
        <f>G454</f>
        <v>1500000</v>
      </c>
      <c r="H453" s="81">
        <f t="shared" ref="H453:I453" si="181">H454</f>
        <v>1500000</v>
      </c>
      <c r="I453" s="81">
        <f t="shared" si="181"/>
        <v>1500000</v>
      </c>
      <c r="J453" s="136"/>
      <c r="K453" s="69"/>
      <c r="L453" s="69"/>
      <c r="M453" s="69"/>
      <c r="N453" s="69"/>
      <c r="O453" s="69"/>
      <c r="P453" s="69"/>
      <c r="Q453" s="69"/>
      <c r="R453" s="69"/>
      <c r="S453" s="1"/>
      <c r="T453" s="1"/>
    </row>
    <row r="454" spans="1:21" ht="26.4" x14ac:dyDescent="0.25">
      <c r="A454" s="78" t="s">
        <v>25</v>
      </c>
      <c r="B454" s="120">
        <v>793</v>
      </c>
      <c r="C454" s="79" t="s">
        <v>98</v>
      </c>
      <c r="D454" s="79" t="s">
        <v>49</v>
      </c>
      <c r="E454" s="79" t="s">
        <v>378</v>
      </c>
      <c r="F454" s="79" t="s">
        <v>26</v>
      </c>
      <c r="G454" s="81">
        <f>G455</f>
        <v>1500000</v>
      </c>
      <c r="H454" s="81">
        <f>H455</f>
        <v>1500000</v>
      </c>
      <c r="I454" s="81">
        <f>I455</f>
        <v>1500000</v>
      </c>
      <c r="J454" s="136"/>
      <c r="K454" s="69"/>
      <c r="L454" s="69"/>
      <c r="M454" s="69"/>
      <c r="N454" s="69"/>
      <c r="O454" s="69"/>
      <c r="P454" s="69"/>
      <c r="Q454" s="69"/>
      <c r="R454" s="69"/>
      <c r="S454" s="1"/>
      <c r="T454" s="1"/>
    </row>
    <row r="455" spans="1:21" ht="30.75" customHeight="1" x14ac:dyDescent="0.25">
      <c r="A455" s="78" t="s">
        <v>27</v>
      </c>
      <c r="B455" s="120">
        <v>793</v>
      </c>
      <c r="C455" s="79" t="s">
        <v>98</v>
      </c>
      <c r="D455" s="79" t="s">
        <v>49</v>
      </c>
      <c r="E455" s="79" t="s">
        <v>378</v>
      </c>
      <c r="F455" s="79" t="s">
        <v>28</v>
      </c>
      <c r="G455" s="81">
        <f>прил4.!G607</f>
        <v>1500000</v>
      </c>
      <c r="H455" s="81">
        <f>прил4.!H607</f>
        <v>1500000</v>
      </c>
      <c r="I455" s="81">
        <f>прил4.!I607</f>
        <v>1500000</v>
      </c>
      <c r="J455" s="136"/>
      <c r="K455" s="69"/>
      <c r="L455" s="69"/>
      <c r="M455" s="69"/>
      <c r="N455" s="69"/>
      <c r="O455" s="69"/>
      <c r="P455" s="69"/>
      <c r="Q455" s="69"/>
      <c r="R455" s="69"/>
      <c r="S455" s="1"/>
      <c r="T455" s="1"/>
    </row>
    <row r="456" spans="1:21" ht="26.25" customHeight="1" x14ac:dyDescent="0.25">
      <c r="A456" s="78" t="s">
        <v>56</v>
      </c>
      <c r="B456" s="120">
        <v>793</v>
      </c>
      <c r="C456" s="79" t="s">
        <v>98</v>
      </c>
      <c r="D456" s="79" t="s">
        <v>49</v>
      </c>
      <c r="E456" s="79" t="s">
        <v>379</v>
      </c>
      <c r="F456" s="79"/>
      <c r="G456" s="81">
        <f t="shared" ref="G456:I457" si="182">G457</f>
        <v>50000</v>
      </c>
      <c r="H456" s="81">
        <f t="shared" si="182"/>
        <v>50000</v>
      </c>
      <c r="I456" s="81">
        <f t="shared" si="182"/>
        <v>50000</v>
      </c>
      <c r="J456" s="136"/>
      <c r="K456" s="69"/>
      <c r="L456" s="69"/>
      <c r="M456" s="69"/>
      <c r="N456" s="69"/>
      <c r="O456" s="69"/>
      <c r="P456" s="69"/>
      <c r="Q456" s="69"/>
      <c r="R456" s="69"/>
      <c r="S456" s="1"/>
      <c r="T456" s="1"/>
    </row>
    <row r="457" spans="1:21" ht="26.25" customHeight="1" x14ac:dyDescent="0.25">
      <c r="A457" s="78" t="s">
        <v>25</v>
      </c>
      <c r="B457" s="120">
        <v>793</v>
      </c>
      <c r="C457" s="79" t="s">
        <v>98</v>
      </c>
      <c r="D457" s="79" t="s">
        <v>49</v>
      </c>
      <c r="E457" s="79" t="s">
        <v>379</v>
      </c>
      <c r="F457" s="79" t="s">
        <v>26</v>
      </c>
      <c r="G457" s="81">
        <f t="shared" si="182"/>
        <v>50000</v>
      </c>
      <c r="H457" s="81">
        <f t="shared" si="182"/>
        <v>50000</v>
      </c>
      <c r="I457" s="81">
        <f t="shared" si="182"/>
        <v>50000</v>
      </c>
      <c r="J457" s="136"/>
      <c r="K457" s="69"/>
      <c r="L457" s="69"/>
      <c r="M457" s="69"/>
      <c r="N457" s="69"/>
      <c r="O457" s="69"/>
      <c r="P457" s="69"/>
      <c r="Q457" s="69"/>
      <c r="R457" s="69"/>
      <c r="S457" s="1"/>
      <c r="T457" s="1"/>
    </row>
    <row r="458" spans="1:21" ht="26.4" x14ac:dyDescent="0.25">
      <c r="A458" s="78" t="s">
        <v>27</v>
      </c>
      <c r="B458" s="120">
        <v>793</v>
      </c>
      <c r="C458" s="79" t="s">
        <v>98</v>
      </c>
      <c r="D458" s="79" t="s">
        <v>49</v>
      </c>
      <c r="E458" s="79" t="s">
        <v>379</v>
      </c>
      <c r="F458" s="79" t="s">
        <v>28</v>
      </c>
      <c r="G458" s="81">
        <f>прил4.!G610</f>
        <v>50000</v>
      </c>
      <c r="H458" s="81">
        <f>прил4.!H610</f>
        <v>50000</v>
      </c>
      <c r="I458" s="81">
        <f>прил4.!I610</f>
        <v>50000</v>
      </c>
      <c r="J458" s="136"/>
      <c r="K458" s="69"/>
      <c r="L458" s="69"/>
      <c r="M458" s="69"/>
      <c r="N458" s="69"/>
      <c r="O458" s="69"/>
      <c r="P458" s="69"/>
      <c r="Q458" s="69"/>
      <c r="R458" s="69"/>
      <c r="S458" s="1"/>
      <c r="T458" s="1"/>
    </row>
    <row r="459" spans="1:21" ht="30.75" customHeight="1" x14ac:dyDescent="0.25">
      <c r="A459" s="78" t="s">
        <v>290</v>
      </c>
      <c r="B459" s="120">
        <v>793</v>
      </c>
      <c r="C459" s="79" t="s">
        <v>98</v>
      </c>
      <c r="D459" s="79" t="s">
        <v>49</v>
      </c>
      <c r="E459" s="79" t="s">
        <v>380</v>
      </c>
      <c r="F459" s="79"/>
      <c r="G459" s="81">
        <f t="shared" ref="G459:I460" si="183">G460</f>
        <v>0</v>
      </c>
      <c r="H459" s="81">
        <f t="shared" si="183"/>
        <v>300000</v>
      </c>
      <c r="I459" s="81">
        <f t="shared" si="183"/>
        <v>300000</v>
      </c>
      <c r="J459" s="136"/>
      <c r="K459" s="69"/>
      <c r="L459" s="69"/>
      <c r="M459" s="69"/>
      <c r="N459" s="69"/>
      <c r="O459" s="69"/>
      <c r="P459" s="69"/>
      <c r="Q459" s="69"/>
      <c r="R459" s="69"/>
      <c r="S459" s="1"/>
      <c r="T459" s="1"/>
    </row>
    <row r="460" spans="1:21" ht="30.75" customHeight="1" x14ac:dyDescent="0.25">
      <c r="A460" s="78" t="s">
        <v>25</v>
      </c>
      <c r="B460" s="120">
        <v>793</v>
      </c>
      <c r="C460" s="79" t="s">
        <v>98</v>
      </c>
      <c r="D460" s="79" t="s">
        <v>49</v>
      </c>
      <c r="E460" s="79" t="s">
        <v>380</v>
      </c>
      <c r="F460" s="79" t="s">
        <v>26</v>
      </c>
      <c r="G460" s="81">
        <f t="shared" si="183"/>
        <v>0</v>
      </c>
      <c r="H460" s="81">
        <f t="shared" si="183"/>
        <v>300000</v>
      </c>
      <c r="I460" s="81">
        <f t="shared" si="183"/>
        <v>300000</v>
      </c>
      <c r="J460" s="136"/>
      <c r="K460" s="69"/>
      <c r="L460" s="69"/>
      <c r="M460" s="69"/>
      <c r="N460" s="69"/>
      <c r="O460" s="69"/>
      <c r="P460" s="69"/>
      <c r="Q460" s="69"/>
      <c r="R460" s="69"/>
      <c r="S460" s="1"/>
      <c r="T460" s="1"/>
    </row>
    <row r="461" spans="1:21" ht="30.75" customHeight="1" x14ac:dyDescent="0.25">
      <c r="A461" s="78" t="s">
        <v>27</v>
      </c>
      <c r="B461" s="120">
        <v>793</v>
      </c>
      <c r="C461" s="79" t="s">
        <v>98</v>
      </c>
      <c r="D461" s="79" t="s">
        <v>49</v>
      </c>
      <c r="E461" s="79" t="s">
        <v>380</v>
      </c>
      <c r="F461" s="79" t="s">
        <v>28</v>
      </c>
      <c r="G461" s="81">
        <f>прил4.!G613</f>
        <v>0</v>
      </c>
      <c r="H461" s="81">
        <f>прил4.!H613</f>
        <v>300000</v>
      </c>
      <c r="I461" s="81">
        <f>прил4.!I613</f>
        <v>300000</v>
      </c>
      <c r="J461" s="136"/>
      <c r="K461" s="69"/>
      <c r="L461" s="69"/>
      <c r="M461" s="69"/>
      <c r="N461" s="69"/>
      <c r="O461" s="69"/>
      <c r="P461" s="69"/>
      <c r="Q461" s="69"/>
      <c r="R461" s="69"/>
      <c r="S461" s="1"/>
      <c r="T461" s="1"/>
    </row>
    <row r="462" spans="1:21" s="73" customFormat="1" ht="42" customHeight="1" x14ac:dyDescent="0.3">
      <c r="A462" s="267" t="s">
        <v>74</v>
      </c>
      <c r="B462" s="268"/>
      <c r="C462" s="268"/>
      <c r="D462" s="268"/>
      <c r="E462" s="268"/>
      <c r="F462" s="268"/>
      <c r="G462" s="269">
        <f>G463+G511+G526+G532+G540+G544+G548+G552</f>
        <v>147704522.11999997</v>
      </c>
      <c r="H462" s="269">
        <f>H463+H511+H526+H532+H540+H544+H548+H552</f>
        <v>150380040.97999999</v>
      </c>
      <c r="I462" s="269">
        <f>I463+I511+I526+I532+I540+I544+I548+I552</f>
        <v>152139762.59</v>
      </c>
      <c r="J462" s="100"/>
      <c r="P462" s="100"/>
      <c r="Q462" s="100"/>
      <c r="R462" s="100"/>
      <c r="S462" s="100"/>
      <c r="T462" s="100"/>
    </row>
    <row r="463" spans="1:21" s="73" customFormat="1" ht="38.25" customHeight="1" x14ac:dyDescent="0.3">
      <c r="A463" s="96" t="s">
        <v>400</v>
      </c>
      <c r="B463" s="244"/>
      <c r="C463" s="244"/>
      <c r="D463" s="244"/>
      <c r="E463" s="245" t="s">
        <v>150</v>
      </c>
      <c r="F463" s="246"/>
      <c r="G463" s="247">
        <f>G464+G468</f>
        <v>101785446.94</v>
      </c>
      <c r="H463" s="247">
        <f t="shared" ref="H463:I463" si="184">H464+H468</f>
        <v>103444589.3</v>
      </c>
      <c r="I463" s="247">
        <f t="shared" si="184"/>
        <v>105039660.65000001</v>
      </c>
      <c r="J463" s="100"/>
      <c r="P463" s="100"/>
      <c r="Q463" s="100"/>
      <c r="R463" s="100"/>
      <c r="S463" s="100"/>
      <c r="T463" s="100"/>
    </row>
    <row r="464" spans="1:21" s="22" customFormat="1" ht="21" customHeight="1" x14ac:dyDescent="0.25">
      <c r="A464" s="34" t="s">
        <v>399</v>
      </c>
      <c r="B464" s="35">
        <v>793</v>
      </c>
      <c r="C464" s="36" t="s">
        <v>10</v>
      </c>
      <c r="D464" s="36" t="s">
        <v>19</v>
      </c>
      <c r="E464" s="36" t="s">
        <v>151</v>
      </c>
      <c r="F464" s="36"/>
      <c r="G464" s="71">
        <f>G465</f>
        <v>2663729</v>
      </c>
      <c r="H464" s="71">
        <f t="shared" ref="H464:I464" si="185">H465</f>
        <v>2690366</v>
      </c>
      <c r="I464" s="71">
        <f t="shared" si="185"/>
        <v>2717270</v>
      </c>
      <c r="J464" s="21">
        <v>22376720</v>
      </c>
      <c r="P464" s="21"/>
      <c r="Q464" s="21"/>
      <c r="R464" s="21"/>
      <c r="S464" s="21"/>
      <c r="T464" s="21"/>
    </row>
    <row r="465" spans="1:20" ht="26.4" x14ac:dyDescent="0.25">
      <c r="A465" s="16" t="s">
        <v>55</v>
      </c>
      <c r="B465" s="14">
        <v>793</v>
      </c>
      <c r="C465" s="15" t="s">
        <v>10</v>
      </c>
      <c r="D465" s="15" t="s">
        <v>19</v>
      </c>
      <c r="E465" s="15" t="s">
        <v>152</v>
      </c>
      <c r="F465" s="15"/>
      <c r="G465" s="70">
        <f>G466</f>
        <v>2663729</v>
      </c>
      <c r="H465" s="70">
        <f t="shared" ref="H465:I466" si="186">H466</f>
        <v>2690366</v>
      </c>
      <c r="I465" s="70">
        <f t="shared" si="186"/>
        <v>2717270</v>
      </c>
      <c r="J465" s="2">
        <v>1931480</v>
      </c>
    </row>
    <row r="466" spans="1:20" ht="52.8" x14ac:dyDescent="0.25">
      <c r="A466" s="16" t="s">
        <v>198</v>
      </c>
      <c r="B466" s="14">
        <v>793</v>
      </c>
      <c r="C466" s="15" t="s">
        <v>10</v>
      </c>
      <c r="D466" s="15" t="s">
        <v>19</v>
      </c>
      <c r="E466" s="15" t="s">
        <v>152</v>
      </c>
      <c r="F466" s="15" t="s">
        <v>41</v>
      </c>
      <c r="G466" s="70">
        <f>G467</f>
        <v>2663729</v>
      </c>
      <c r="H466" s="70">
        <f t="shared" si="186"/>
        <v>2690366</v>
      </c>
      <c r="I466" s="70">
        <f t="shared" si="186"/>
        <v>2717270</v>
      </c>
      <c r="J466" s="2">
        <v>3861060</v>
      </c>
    </row>
    <row r="467" spans="1:20" ht="26.4" x14ac:dyDescent="0.25">
      <c r="A467" s="16" t="s">
        <v>40</v>
      </c>
      <c r="B467" s="14">
        <v>793</v>
      </c>
      <c r="C467" s="15" t="s">
        <v>10</v>
      </c>
      <c r="D467" s="15" t="s">
        <v>19</v>
      </c>
      <c r="E467" s="15" t="s">
        <v>152</v>
      </c>
      <c r="F467" s="15" t="s">
        <v>42</v>
      </c>
      <c r="G467" s="70">
        <f>прил4.!G387</f>
        <v>2663729</v>
      </c>
      <c r="H467" s="70">
        <f>прил4.!H387</f>
        <v>2690366</v>
      </c>
      <c r="I467" s="70">
        <f>прил4.!I387</f>
        <v>2717270</v>
      </c>
      <c r="J467" s="2">
        <v>36840</v>
      </c>
    </row>
    <row r="468" spans="1:20" s="46" customFormat="1" x14ac:dyDescent="0.25">
      <c r="A468" s="56" t="s">
        <v>401</v>
      </c>
      <c r="B468" s="14">
        <v>793</v>
      </c>
      <c r="C468" s="15" t="s">
        <v>10</v>
      </c>
      <c r="D468" s="15" t="s">
        <v>38</v>
      </c>
      <c r="E468" s="15" t="s">
        <v>154</v>
      </c>
      <c r="F468" s="15"/>
      <c r="G468" s="70">
        <f>G469+G487+G503+G508+G476+G493</f>
        <v>99121717.939999998</v>
      </c>
      <c r="H468" s="70">
        <f t="shared" ref="H468:I468" si="187">H469+H487+H503+H508+H476+H493</f>
        <v>100754223.3</v>
      </c>
      <c r="I468" s="70">
        <f t="shared" si="187"/>
        <v>102322390.65000001</v>
      </c>
      <c r="J468" s="98">
        <v>1772668</v>
      </c>
      <c r="P468" s="98"/>
      <c r="Q468" s="98"/>
      <c r="R468" s="98"/>
      <c r="S468" s="98"/>
      <c r="T468" s="98"/>
    </row>
    <row r="469" spans="1:20" s="46" customFormat="1" ht="26.4" x14ac:dyDescent="0.25">
      <c r="A469" s="16" t="s">
        <v>55</v>
      </c>
      <c r="B469" s="14">
        <v>793</v>
      </c>
      <c r="C469" s="15" t="s">
        <v>10</v>
      </c>
      <c r="D469" s="15" t="s">
        <v>38</v>
      </c>
      <c r="E469" s="15" t="s">
        <v>155</v>
      </c>
      <c r="F469" s="15"/>
      <c r="G469" s="70">
        <f>G470+G472+G474</f>
        <v>90807884</v>
      </c>
      <c r="H469" s="70">
        <f t="shared" ref="H469:I469" si="188">H470+H472+H474</f>
        <v>92144996</v>
      </c>
      <c r="I469" s="70">
        <f t="shared" si="188"/>
        <v>93405925</v>
      </c>
      <c r="J469" s="98">
        <v>26732</v>
      </c>
      <c r="P469" s="98"/>
      <c r="Q469" s="98"/>
      <c r="R469" s="98"/>
      <c r="S469" s="98"/>
      <c r="T469" s="98"/>
    </row>
    <row r="470" spans="1:20" s="46" customFormat="1" ht="52.8" x14ac:dyDescent="0.25">
      <c r="A470" s="16" t="s">
        <v>198</v>
      </c>
      <c r="B470" s="14">
        <v>793</v>
      </c>
      <c r="C470" s="15" t="s">
        <v>10</v>
      </c>
      <c r="D470" s="15" t="s">
        <v>38</v>
      </c>
      <c r="E470" s="15" t="s">
        <v>155</v>
      </c>
      <c r="F470" s="15" t="s">
        <v>41</v>
      </c>
      <c r="G470" s="70">
        <f>G471</f>
        <v>86686038</v>
      </c>
      <c r="H470" s="70">
        <f>H471</f>
        <v>87490860</v>
      </c>
      <c r="I470" s="70">
        <f>I471</f>
        <v>88479267</v>
      </c>
      <c r="J470" s="98">
        <v>292420</v>
      </c>
      <c r="P470" s="98"/>
      <c r="Q470" s="98"/>
      <c r="R470" s="98"/>
      <c r="S470" s="98"/>
      <c r="T470" s="98"/>
    </row>
    <row r="471" spans="1:20" s="46" customFormat="1" ht="34.5" customHeight="1" x14ac:dyDescent="0.25">
      <c r="A471" s="16" t="s">
        <v>40</v>
      </c>
      <c r="B471" s="14">
        <v>793</v>
      </c>
      <c r="C471" s="15" t="s">
        <v>10</v>
      </c>
      <c r="D471" s="15" t="s">
        <v>38</v>
      </c>
      <c r="E471" s="15" t="s">
        <v>155</v>
      </c>
      <c r="F471" s="15" t="s">
        <v>42</v>
      </c>
      <c r="G471" s="70">
        <f>прил4.!G397</f>
        <v>86686038</v>
      </c>
      <c r="H471" s="70">
        <f>прил4.!H397</f>
        <v>87490860</v>
      </c>
      <c r="I471" s="70">
        <f>прил4.!I397</f>
        <v>88479267</v>
      </c>
      <c r="J471" s="98">
        <v>7380</v>
      </c>
      <c r="P471" s="98"/>
      <c r="Q471" s="98"/>
      <c r="R471" s="98"/>
      <c r="S471" s="98"/>
      <c r="T471" s="98"/>
    </row>
    <row r="472" spans="1:20" s="46" customFormat="1" x14ac:dyDescent="0.25">
      <c r="A472" s="16" t="s">
        <v>199</v>
      </c>
      <c r="B472" s="14">
        <v>793</v>
      </c>
      <c r="C472" s="15" t="s">
        <v>10</v>
      </c>
      <c r="D472" s="15" t="s">
        <v>38</v>
      </c>
      <c r="E472" s="15" t="s">
        <v>155</v>
      </c>
      <c r="F472" s="15" t="s">
        <v>26</v>
      </c>
      <c r="G472" s="70">
        <f>G473</f>
        <v>3937600</v>
      </c>
      <c r="H472" s="70">
        <f t="shared" ref="H472:I472" si="189">H473</f>
        <v>4654136</v>
      </c>
      <c r="I472" s="70">
        <f t="shared" si="189"/>
        <v>4926658</v>
      </c>
      <c r="J472" s="98">
        <v>10000</v>
      </c>
      <c r="P472" s="98"/>
      <c r="Q472" s="98"/>
      <c r="R472" s="98"/>
      <c r="S472" s="98"/>
      <c r="T472" s="98"/>
    </row>
    <row r="473" spans="1:20" s="46" customFormat="1" ht="26.4" x14ac:dyDescent="0.25">
      <c r="A473" s="16" t="s">
        <v>27</v>
      </c>
      <c r="B473" s="14">
        <v>793</v>
      </c>
      <c r="C473" s="15" t="s">
        <v>10</v>
      </c>
      <c r="D473" s="15" t="s">
        <v>38</v>
      </c>
      <c r="E473" s="15" t="s">
        <v>155</v>
      </c>
      <c r="F473" s="15" t="s">
        <v>28</v>
      </c>
      <c r="G473" s="70">
        <f>прил4.!G399</f>
        <v>3937600</v>
      </c>
      <c r="H473" s="70">
        <f>прил4.!H399</f>
        <v>4654136</v>
      </c>
      <c r="I473" s="70">
        <f>прил4.!I399</f>
        <v>4926658</v>
      </c>
      <c r="J473" s="98">
        <f>SUM(J464:J472)</f>
        <v>30315300</v>
      </c>
      <c r="P473" s="98"/>
      <c r="Q473" s="98"/>
      <c r="R473" s="98"/>
      <c r="S473" s="98"/>
      <c r="T473" s="98"/>
    </row>
    <row r="474" spans="1:20" s="46" customFormat="1" ht="19.5" customHeight="1" x14ac:dyDescent="0.25">
      <c r="A474" s="16" t="s">
        <v>86</v>
      </c>
      <c r="B474" s="14">
        <v>793</v>
      </c>
      <c r="C474" s="15" t="s">
        <v>10</v>
      </c>
      <c r="D474" s="15" t="s">
        <v>38</v>
      </c>
      <c r="E474" s="15" t="s">
        <v>155</v>
      </c>
      <c r="F474" s="223" t="s">
        <v>87</v>
      </c>
      <c r="G474" s="249">
        <f>G475</f>
        <v>184246</v>
      </c>
      <c r="H474" s="249">
        <f t="shared" ref="H474:I474" si="190">H475</f>
        <v>0</v>
      </c>
      <c r="I474" s="249">
        <f t="shared" si="190"/>
        <v>0</v>
      </c>
      <c r="J474" s="136"/>
      <c r="K474" s="58"/>
      <c r="L474" s="58"/>
      <c r="M474" s="58"/>
      <c r="N474" s="58"/>
      <c r="O474" s="58"/>
      <c r="P474" s="58"/>
      <c r="Q474" s="58"/>
      <c r="R474" s="58"/>
    </row>
    <row r="475" spans="1:20" s="46" customFormat="1" ht="26.4" x14ac:dyDescent="0.25">
      <c r="A475" s="16" t="s">
        <v>88</v>
      </c>
      <c r="B475" s="14">
        <v>793</v>
      </c>
      <c r="C475" s="15" t="s">
        <v>10</v>
      </c>
      <c r="D475" s="15" t="s">
        <v>38</v>
      </c>
      <c r="E475" s="15" t="s">
        <v>155</v>
      </c>
      <c r="F475" s="223" t="s">
        <v>521</v>
      </c>
      <c r="G475" s="249">
        <f>прил4.!G401</f>
        <v>184246</v>
      </c>
      <c r="H475" s="249"/>
      <c r="I475" s="249"/>
      <c r="J475" s="136"/>
      <c r="K475" s="58"/>
      <c r="L475" s="58"/>
      <c r="M475" s="58"/>
      <c r="N475" s="58"/>
      <c r="O475" s="58"/>
      <c r="P475" s="58"/>
      <c r="Q475" s="58"/>
      <c r="R475" s="58"/>
    </row>
    <row r="476" spans="1:20" s="3" customFormat="1" ht="39.75" customHeight="1" x14ac:dyDescent="0.25">
      <c r="A476" s="281" t="s">
        <v>449</v>
      </c>
      <c r="B476" s="120">
        <v>793</v>
      </c>
      <c r="C476" s="79" t="s">
        <v>10</v>
      </c>
      <c r="D476" s="79" t="s">
        <v>38</v>
      </c>
      <c r="E476" s="79" t="s">
        <v>506</v>
      </c>
      <c r="F476" s="79"/>
      <c r="G476" s="81">
        <f>G477+G482</f>
        <v>2836611.31</v>
      </c>
      <c r="H476" s="81">
        <f t="shared" ref="H476:I476" si="191">H477+H482</f>
        <v>2935075.76</v>
      </c>
      <c r="I476" s="81">
        <f t="shared" si="191"/>
        <v>3037488.55</v>
      </c>
      <c r="J476" s="70">
        <v>1820907.1</v>
      </c>
      <c r="K476" s="70">
        <v>1886313.66</v>
      </c>
      <c r="L476" s="62"/>
      <c r="M476" s="62"/>
      <c r="N476" s="63"/>
      <c r="O476" s="63"/>
      <c r="P476" s="63"/>
      <c r="Q476" s="62"/>
      <c r="R476" s="62"/>
    </row>
    <row r="477" spans="1:20" s="3" customFormat="1" ht="82.5" customHeight="1" x14ac:dyDescent="0.25">
      <c r="A477" s="195" t="s">
        <v>505</v>
      </c>
      <c r="B477" s="120">
        <v>793</v>
      </c>
      <c r="C477" s="79" t="s">
        <v>10</v>
      </c>
      <c r="D477" s="79" t="s">
        <v>38</v>
      </c>
      <c r="E477" s="79" t="s">
        <v>494</v>
      </c>
      <c r="F477" s="79"/>
      <c r="G477" s="81">
        <f>G478+G480</f>
        <v>1947428.31</v>
      </c>
      <c r="H477" s="81">
        <f t="shared" ref="H477:I477" si="192">H478+H480</f>
        <v>1886717.18</v>
      </c>
      <c r="I477" s="81">
        <f t="shared" si="192"/>
        <v>1954992.37</v>
      </c>
      <c r="J477" s="70"/>
      <c r="K477" s="70"/>
      <c r="L477" s="62"/>
      <c r="M477" s="62"/>
      <c r="N477" s="63"/>
      <c r="O477" s="63"/>
      <c r="P477" s="63"/>
      <c r="Q477" s="62"/>
      <c r="R477" s="62"/>
    </row>
    <row r="478" spans="1:20" s="3" customFormat="1" ht="52.8" x14ac:dyDescent="0.25">
      <c r="A478" s="78" t="s">
        <v>198</v>
      </c>
      <c r="B478" s="120">
        <v>793</v>
      </c>
      <c r="C478" s="79" t="s">
        <v>10</v>
      </c>
      <c r="D478" s="79" t="s">
        <v>38</v>
      </c>
      <c r="E478" s="79" t="s">
        <v>494</v>
      </c>
      <c r="F478" s="79" t="s">
        <v>41</v>
      </c>
      <c r="G478" s="81">
        <f>G479</f>
        <v>1904328</v>
      </c>
      <c r="H478" s="81">
        <f>H479</f>
        <v>1824717</v>
      </c>
      <c r="I478" s="81">
        <f>I479</f>
        <v>1892992</v>
      </c>
      <c r="J478" s="70">
        <f>H476+H487+H492</f>
        <v>2935075.76</v>
      </c>
      <c r="K478" s="70">
        <f>I476+I487+I492</f>
        <v>3037488.55</v>
      </c>
      <c r="L478" s="62"/>
      <c r="M478" s="62"/>
      <c r="N478" s="62"/>
      <c r="O478" s="62"/>
      <c r="P478" s="62"/>
      <c r="Q478" s="62"/>
      <c r="R478" s="62"/>
    </row>
    <row r="479" spans="1:20" s="3" customFormat="1" ht="26.4" x14ac:dyDescent="0.25">
      <c r="A479" s="78" t="s">
        <v>40</v>
      </c>
      <c r="B479" s="120">
        <v>793</v>
      </c>
      <c r="C479" s="79" t="s">
        <v>10</v>
      </c>
      <c r="D479" s="79" t="s">
        <v>38</v>
      </c>
      <c r="E479" s="79" t="s">
        <v>494</v>
      </c>
      <c r="F479" s="79" t="s">
        <v>42</v>
      </c>
      <c r="G479" s="81">
        <f>прил4.!G405</f>
        <v>1904328</v>
      </c>
      <c r="H479" s="81">
        <f>прил4.!H405</f>
        <v>1824717</v>
      </c>
      <c r="I479" s="81">
        <f>прил4.!I405</f>
        <v>1892992</v>
      </c>
      <c r="J479" s="103">
        <f>H476-J476</f>
        <v>1114168.6599999997</v>
      </c>
      <c r="K479" s="103">
        <f>I476-K476</f>
        <v>1151174.8899999999</v>
      </c>
      <c r="L479" s="63"/>
      <c r="M479" s="62"/>
      <c r="N479" s="63"/>
      <c r="O479" s="63"/>
      <c r="P479" s="63"/>
      <c r="Q479" s="62"/>
      <c r="R479" s="62"/>
    </row>
    <row r="480" spans="1:20" s="3" customFormat="1" ht="20.25" customHeight="1" x14ac:dyDescent="0.25">
      <c r="A480" s="78" t="s">
        <v>199</v>
      </c>
      <c r="B480" s="120">
        <v>793</v>
      </c>
      <c r="C480" s="79" t="s">
        <v>10</v>
      </c>
      <c r="D480" s="79" t="s">
        <v>38</v>
      </c>
      <c r="E480" s="79" t="s">
        <v>494</v>
      </c>
      <c r="F480" s="79" t="s">
        <v>26</v>
      </c>
      <c r="G480" s="81">
        <f>G481</f>
        <v>43100.31</v>
      </c>
      <c r="H480" s="81">
        <f>H481</f>
        <v>62000.18</v>
      </c>
      <c r="I480" s="81">
        <f>I481</f>
        <v>62000.37</v>
      </c>
      <c r="J480" s="70"/>
      <c r="K480" s="104"/>
      <c r="L480" s="62"/>
      <c r="M480" s="62"/>
      <c r="N480" s="62"/>
      <c r="O480" s="62"/>
      <c r="P480" s="62"/>
      <c r="Q480" s="62"/>
      <c r="R480" s="62"/>
    </row>
    <row r="481" spans="1:20" s="3" customFormat="1" ht="26.4" x14ac:dyDescent="0.25">
      <c r="A481" s="78" t="s">
        <v>27</v>
      </c>
      <c r="B481" s="120">
        <v>793</v>
      </c>
      <c r="C481" s="79" t="s">
        <v>10</v>
      </c>
      <c r="D481" s="79" t="s">
        <v>38</v>
      </c>
      <c r="E481" s="79" t="s">
        <v>494</v>
      </c>
      <c r="F481" s="79" t="s">
        <v>28</v>
      </c>
      <c r="G481" s="81">
        <f>прил4.!G407</f>
        <v>43100.31</v>
      </c>
      <c r="H481" s="81">
        <f>прил4.!H407</f>
        <v>62000.18</v>
      </c>
      <c r="I481" s="81">
        <f>прил4.!I407</f>
        <v>62000.37</v>
      </c>
      <c r="J481" s="70"/>
      <c r="K481" s="104"/>
      <c r="L481" s="62"/>
      <c r="M481" s="62"/>
      <c r="N481" s="62"/>
      <c r="O481" s="62"/>
      <c r="P481" s="62"/>
      <c r="Q481" s="62"/>
      <c r="R481" s="62"/>
    </row>
    <row r="482" spans="1:20" s="3" customFormat="1" ht="66" customHeight="1" x14ac:dyDescent="0.25">
      <c r="A482" s="281" t="s">
        <v>287</v>
      </c>
      <c r="B482" s="120">
        <v>793</v>
      </c>
      <c r="C482" s="79" t="s">
        <v>10</v>
      </c>
      <c r="D482" s="79" t="s">
        <v>38</v>
      </c>
      <c r="E482" s="79" t="s">
        <v>507</v>
      </c>
      <c r="F482" s="79"/>
      <c r="G482" s="81">
        <f>G483+G485</f>
        <v>889183</v>
      </c>
      <c r="H482" s="81">
        <f t="shared" ref="H482:I482" si="193">H483+H485</f>
        <v>1048358.58</v>
      </c>
      <c r="I482" s="81">
        <f t="shared" si="193"/>
        <v>1082496.18</v>
      </c>
      <c r="J482" s="70"/>
      <c r="K482" s="70"/>
      <c r="L482" s="62"/>
      <c r="M482" s="62"/>
      <c r="N482" s="63"/>
      <c r="O482" s="63"/>
      <c r="P482" s="63"/>
      <c r="Q482" s="62"/>
      <c r="R482" s="62"/>
    </row>
    <row r="483" spans="1:20" s="3" customFormat="1" ht="52.8" x14ac:dyDescent="0.25">
      <c r="A483" s="78" t="s">
        <v>198</v>
      </c>
      <c r="B483" s="120">
        <v>793</v>
      </c>
      <c r="C483" s="79" t="s">
        <v>10</v>
      </c>
      <c r="D483" s="79" t="s">
        <v>38</v>
      </c>
      <c r="E483" s="79" t="s">
        <v>507</v>
      </c>
      <c r="F483" s="79" t="s">
        <v>41</v>
      </c>
      <c r="G483" s="81">
        <f>G484</f>
        <v>854183</v>
      </c>
      <c r="H483" s="81">
        <f>H484</f>
        <v>978358</v>
      </c>
      <c r="I483" s="81">
        <f>I484</f>
        <v>1007496</v>
      </c>
      <c r="J483" s="70">
        <f>H481+H492+H497</f>
        <v>212000.41999999998</v>
      </c>
      <c r="K483" s="70">
        <f>I481+I492+I497</f>
        <v>212000.38</v>
      </c>
      <c r="L483" s="62"/>
      <c r="M483" s="62"/>
      <c r="N483" s="62"/>
      <c r="O483" s="62"/>
      <c r="P483" s="62"/>
      <c r="Q483" s="62"/>
      <c r="R483" s="62"/>
    </row>
    <row r="484" spans="1:20" s="3" customFormat="1" ht="26.4" x14ac:dyDescent="0.25">
      <c r="A484" s="78" t="s">
        <v>40</v>
      </c>
      <c r="B484" s="120">
        <v>793</v>
      </c>
      <c r="C484" s="79" t="s">
        <v>10</v>
      </c>
      <c r="D484" s="79" t="s">
        <v>38</v>
      </c>
      <c r="E484" s="79" t="s">
        <v>507</v>
      </c>
      <c r="F484" s="79" t="s">
        <v>42</v>
      </c>
      <c r="G484" s="81">
        <f>прил4.!G410</f>
        <v>854183</v>
      </c>
      <c r="H484" s="81">
        <f>прил4.!H410</f>
        <v>978358</v>
      </c>
      <c r="I484" s="81">
        <f>прил4.!I410</f>
        <v>1007496</v>
      </c>
      <c r="J484" s="103">
        <f>H481-J481</f>
        <v>62000.18</v>
      </c>
      <c r="K484" s="103">
        <f>I481-K481</f>
        <v>62000.37</v>
      </c>
      <c r="L484" s="63"/>
      <c r="M484" s="62"/>
      <c r="N484" s="63"/>
      <c r="O484" s="63"/>
      <c r="P484" s="63"/>
      <c r="Q484" s="62"/>
      <c r="R484" s="62"/>
    </row>
    <row r="485" spans="1:20" s="3" customFormat="1" ht="20.25" customHeight="1" x14ac:dyDescent="0.25">
      <c r="A485" s="78" t="s">
        <v>199</v>
      </c>
      <c r="B485" s="120">
        <v>793</v>
      </c>
      <c r="C485" s="79" t="s">
        <v>10</v>
      </c>
      <c r="D485" s="79" t="s">
        <v>38</v>
      </c>
      <c r="E485" s="79" t="s">
        <v>507</v>
      </c>
      <c r="F485" s="79" t="s">
        <v>26</v>
      </c>
      <c r="G485" s="81">
        <f>G486</f>
        <v>35000</v>
      </c>
      <c r="H485" s="81">
        <f>H486</f>
        <v>70000.58</v>
      </c>
      <c r="I485" s="81">
        <f>I486</f>
        <v>75000.179999999993</v>
      </c>
      <c r="J485" s="70"/>
      <c r="K485" s="104"/>
      <c r="L485" s="62"/>
      <c r="M485" s="62"/>
      <c r="N485" s="62"/>
      <c r="O485" s="62"/>
      <c r="P485" s="62"/>
      <c r="Q485" s="62"/>
      <c r="R485" s="62"/>
    </row>
    <row r="486" spans="1:20" s="3" customFormat="1" ht="26.4" x14ac:dyDescent="0.25">
      <c r="A486" s="78" t="s">
        <v>27</v>
      </c>
      <c r="B486" s="120">
        <v>793</v>
      </c>
      <c r="C486" s="79" t="s">
        <v>10</v>
      </c>
      <c r="D486" s="79" t="s">
        <v>38</v>
      </c>
      <c r="E486" s="79" t="s">
        <v>507</v>
      </c>
      <c r="F486" s="79" t="s">
        <v>28</v>
      </c>
      <c r="G486" s="81">
        <f>прил4.!G412</f>
        <v>35000</v>
      </c>
      <c r="H486" s="81">
        <f>прил4.!H412</f>
        <v>70000.58</v>
      </c>
      <c r="I486" s="81">
        <f>прил4.!I412</f>
        <v>75000.179999999993</v>
      </c>
      <c r="J486" s="70"/>
      <c r="K486" s="104"/>
      <c r="L486" s="62"/>
      <c r="M486" s="62"/>
      <c r="N486" s="62"/>
      <c r="O486" s="62"/>
      <c r="P486" s="62"/>
      <c r="Q486" s="62"/>
      <c r="R486" s="62"/>
    </row>
    <row r="487" spans="1:20" s="46" customFormat="1" hidden="1" x14ac:dyDescent="0.25">
      <c r="A487" s="287"/>
      <c r="B487" s="120"/>
      <c r="C487" s="79"/>
      <c r="D487" s="79"/>
      <c r="E487" s="79"/>
      <c r="F487" s="288"/>
      <c r="G487" s="249"/>
      <c r="H487" s="249"/>
      <c r="I487" s="249"/>
      <c r="J487" s="136"/>
      <c r="K487" s="58"/>
      <c r="L487" s="58"/>
      <c r="M487" s="58"/>
      <c r="N487" s="58"/>
      <c r="O487" s="58"/>
      <c r="P487" s="58"/>
      <c r="Q487" s="58"/>
      <c r="R487" s="58"/>
    </row>
    <row r="488" spans="1:20" s="3" customFormat="1" ht="48.75" hidden="1" customHeight="1" x14ac:dyDescent="0.25">
      <c r="A488" s="195"/>
      <c r="B488" s="120"/>
      <c r="C488" s="79"/>
      <c r="D488" s="79"/>
      <c r="E488" s="79"/>
      <c r="F488" s="79"/>
      <c r="G488" s="81"/>
      <c r="H488" s="81"/>
      <c r="I488" s="81"/>
      <c r="J488" s="99"/>
      <c r="P488" s="99"/>
      <c r="Q488" s="99"/>
      <c r="R488" s="99"/>
      <c r="S488" s="99"/>
      <c r="T488" s="99"/>
    </row>
    <row r="489" spans="1:20" s="3" customFormat="1" hidden="1" x14ac:dyDescent="0.25">
      <c r="A489" s="78"/>
      <c r="B489" s="120"/>
      <c r="C489" s="79"/>
      <c r="D489" s="79"/>
      <c r="E489" s="79"/>
      <c r="F489" s="79"/>
      <c r="G489" s="81"/>
      <c r="H489" s="81"/>
      <c r="I489" s="81"/>
      <c r="J489" s="99"/>
      <c r="P489" s="99"/>
      <c r="Q489" s="99"/>
      <c r="R489" s="99"/>
      <c r="S489" s="99"/>
      <c r="T489" s="99"/>
    </row>
    <row r="490" spans="1:20" s="3" customFormat="1" hidden="1" x14ac:dyDescent="0.25">
      <c r="A490" s="78"/>
      <c r="B490" s="120"/>
      <c r="C490" s="79"/>
      <c r="D490" s="79"/>
      <c r="E490" s="79"/>
      <c r="F490" s="79"/>
      <c r="G490" s="81"/>
      <c r="H490" s="81"/>
      <c r="I490" s="81"/>
      <c r="J490" s="99"/>
      <c r="P490" s="99"/>
      <c r="Q490" s="99"/>
      <c r="R490" s="99"/>
      <c r="S490" s="99"/>
      <c r="T490" s="99"/>
    </row>
    <row r="491" spans="1:20" s="3" customFormat="1" hidden="1" x14ac:dyDescent="0.25">
      <c r="A491" s="78"/>
      <c r="B491" s="120"/>
      <c r="C491" s="79"/>
      <c r="D491" s="79"/>
      <c r="E491" s="79"/>
      <c r="F491" s="79"/>
      <c r="G491" s="81"/>
      <c r="H491" s="81"/>
      <c r="I491" s="81"/>
      <c r="J491" s="99"/>
      <c r="P491" s="99"/>
      <c r="Q491" s="99"/>
      <c r="R491" s="99"/>
      <c r="S491" s="99"/>
      <c r="T491" s="99"/>
    </row>
    <row r="492" spans="1:20" s="3" customFormat="1" hidden="1" x14ac:dyDescent="0.25">
      <c r="A492" s="78"/>
      <c r="B492" s="120"/>
      <c r="C492" s="79"/>
      <c r="D492" s="79"/>
      <c r="E492" s="79"/>
      <c r="F492" s="79"/>
      <c r="G492" s="81"/>
      <c r="H492" s="81"/>
      <c r="I492" s="81"/>
      <c r="J492" s="99"/>
      <c r="P492" s="99"/>
      <c r="Q492" s="99"/>
      <c r="R492" s="99"/>
      <c r="S492" s="99"/>
      <c r="T492" s="99"/>
    </row>
    <row r="493" spans="1:20" s="3" customFormat="1" ht="67.5" customHeight="1" x14ac:dyDescent="0.25">
      <c r="A493" s="195" t="s">
        <v>493</v>
      </c>
      <c r="B493" s="120">
        <v>793</v>
      </c>
      <c r="C493" s="79" t="s">
        <v>10</v>
      </c>
      <c r="D493" s="79" t="s">
        <v>38</v>
      </c>
      <c r="E493" s="79" t="s">
        <v>508</v>
      </c>
      <c r="F493" s="79"/>
      <c r="G493" s="81">
        <f>G494+G496</f>
        <v>5007954.08</v>
      </c>
      <c r="H493" s="81">
        <f>H494+H496</f>
        <v>5188472.24</v>
      </c>
      <c r="I493" s="81">
        <f>I494+I496</f>
        <v>5376229.0099999998</v>
      </c>
      <c r="J493" s="99"/>
      <c r="P493" s="99"/>
      <c r="Q493" s="99"/>
      <c r="R493" s="99"/>
      <c r="S493" s="99"/>
      <c r="T493" s="99"/>
    </row>
    <row r="494" spans="1:20" s="3" customFormat="1" ht="52.8" x14ac:dyDescent="0.25">
      <c r="A494" s="16" t="s">
        <v>198</v>
      </c>
      <c r="B494" s="14">
        <v>793</v>
      </c>
      <c r="C494" s="15" t="s">
        <v>10</v>
      </c>
      <c r="D494" s="15" t="s">
        <v>38</v>
      </c>
      <c r="E494" s="15" t="s">
        <v>508</v>
      </c>
      <c r="F494" s="15" t="s">
        <v>41</v>
      </c>
      <c r="G494" s="70">
        <f>G495</f>
        <v>4885354</v>
      </c>
      <c r="H494" s="70">
        <f t="shared" ref="H494:I494" si="194">H495</f>
        <v>5038472</v>
      </c>
      <c r="I494" s="70">
        <f t="shared" si="194"/>
        <v>5226229</v>
      </c>
      <c r="J494" s="99"/>
      <c r="P494" s="99"/>
      <c r="Q494" s="99"/>
      <c r="R494" s="99"/>
      <c r="S494" s="99"/>
      <c r="T494" s="99"/>
    </row>
    <row r="495" spans="1:20" s="3" customFormat="1" ht="26.4" x14ac:dyDescent="0.25">
      <c r="A495" s="16" t="s">
        <v>40</v>
      </c>
      <c r="B495" s="14">
        <v>793</v>
      </c>
      <c r="C495" s="15" t="s">
        <v>10</v>
      </c>
      <c r="D495" s="15" t="s">
        <v>38</v>
      </c>
      <c r="E495" s="15" t="s">
        <v>508</v>
      </c>
      <c r="F495" s="15" t="s">
        <v>42</v>
      </c>
      <c r="G495" s="70">
        <f>прил4.!G415</f>
        <v>4885354</v>
      </c>
      <c r="H495" s="70">
        <f>прил4.!H415</f>
        <v>5038472</v>
      </c>
      <c r="I495" s="70">
        <f>прил4.!I415</f>
        <v>5226229</v>
      </c>
      <c r="J495" s="99"/>
      <c r="P495" s="99"/>
      <c r="Q495" s="99"/>
      <c r="R495" s="99"/>
      <c r="S495" s="99"/>
      <c r="T495" s="99"/>
    </row>
    <row r="496" spans="1:20" s="3" customFormat="1" x14ac:dyDescent="0.25">
      <c r="A496" s="16" t="s">
        <v>199</v>
      </c>
      <c r="B496" s="14">
        <v>793</v>
      </c>
      <c r="C496" s="15" t="s">
        <v>10</v>
      </c>
      <c r="D496" s="15" t="s">
        <v>38</v>
      </c>
      <c r="E496" s="15" t="s">
        <v>508</v>
      </c>
      <c r="F496" s="15" t="s">
        <v>26</v>
      </c>
      <c r="G496" s="70">
        <f>G497</f>
        <v>122600.08</v>
      </c>
      <c r="H496" s="70">
        <f>H497</f>
        <v>150000.24</v>
      </c>
      <c r="I496" s="70">
        <f>I497</f>
        <v>150000.01</v>
      </c>
      <c r="J496" s="99"/>
      <c r="P496" s="99"/>
      <c r="Q496" s="99"/>
      <c r="R496" s="99"/>
      <c r="S496" s="99"/>
      <c r="T496" s="99"/>
    </row>
    <row r="497" spans="1:20" s="3" customFormat="1" ht="26.4" x14ac:dyDescent="0.25">
      <c r="A497" s="16" t="s">
        <v>27</v>
      </c>
      <c r="B497" s="14">
        <v>793</v>
      </c>
      <c r="C497" s="15" t="s">
        <v>10</v>
      </c>
      <c r="D497" s="15" t="s">
        <v>38</v>
      </c>
      <c r="E497" s="15" t="s">
        <v>508</v>
      </c>
      <c r="F497" s="15" t="s">
        <v>28</v>
      </c>
      <c r="G497" s="70">
        <f>прил4.!G417</f>
        <v>122600.08</v>
      </c>
      <c r="H497" s="70">
        <f>прил4.!H417</f>
        <v>150000.24</v>
      </c>
      <c r="I497" s="70">
        <f>прил4.!I417</f>
        <v>150000.01</v>
      </c>
      <c r="J497" s="99"/>
      <c r="P497" s="99"/>
      <c r="Q497" s="99"/>
      <c r="R497" s="99"/>
      <c r="S497" s="99"/>
      <c r="T497" s="99"/>
    </row>
    <row r="498" spans="1:20" s="3" customFormat="1" ht="55.5" hidden="1" customHeight="1" x14ac:dyDescent="0.25">
      <c r="A498" s="140"/>
      <c r="B498" s="14"/>
      <c r="C498" s="15"/>
      <c r="D498" s="15"/>
      <c r="E498" s="15"/>
      <c r="F498" s="15"/>
      <c r="G498" s="70"/>
      <c r="H498" s="70"/>
      <c r="I498" s="70"/>
      <c r="J498" s="136"/>
      <c r="K498" s="62"/>
      <c r="L498" s="62"/>
      <c r="M498" s="62"/>
      <c r="N498" s="62"/>
      <c r="O498" s="62"/>
      <c r="P498" s="63"/>
      <c r="Q498" s="62"/>
      <c r="R498" s="63"/>
    </row>
    <row r="499" spans="1:20" s="3" customFormat="1" hidden="1" x14ac:dyDescent="0.25">
      <c r="A499" s="16"/>
      <c r="B499" s="14"/>
      <c r="C499" s="15"/>
      <c r="D499" s="15"/>
      <c r="E499" s="15"/>
      <c r="F499" s="15"/>
      <c r="G499" s="70"/>
      <c r="H499" s="70"/>
      <c r="I499" s="70"/>
      <c r="J499" s="136"/>
      <c r="K499" s="62"/>
      <c r="L499" s="62"/>
      <c r="M499" s="62"/>
      <c r="N499" s="62"/>
      <c r="O499" s="62"/>
      <c r="P499" s="62"/>
      <c r="Q499" s="62"/>
      <c r="R499" s="62"/>
    </row>
    <row r="500" spans="1:20" s="3" customFormat="1" hidden="1" x14ac:dyDescent="0.25">
      <c r="A500" s="16"/>
      <c r="B500" s="14"/>
      <c r="C500" s="15"/>
      <c r="D500" s="15"/>
      <c r="E500" s="15"/>
      <c r="F500" s="15"/>
      <c r="G500" s="70"/>
      <c r="H500" s="70"/>
      <c r="I500" s="70"/>
      <c r="J500" s="136"/>
      <c r="K500" s="62"/>
      <c r="L500" s="62"/>
      <c r="M500" s="63"/>
      <c r="N500" s="62"/>
      <c r="O500" s="62"/>
      <c r="P500" s="62"/>
      <c r="Q500" s="62"/>
      <c r="R500" s="62"/>
    </row>
    <row r="501" spans="1:20" s="3" customFormat="1" ht="21.75" hidden="1" customHeight="1" x14ac:dyDescent="0.25">
      <c r="A501" s="16"/>
      <c r="B501" s="14"/>
      <c r="C501" s="15"/>
      <c r="D501" s="15"/>
      <c r="E501" s="15"/>
      <c r="F501" s="15"/>
      <c r="G501" s="70"/>
      <c r="H501" s="70"/>
      <c r="I501" s="70"/>
      <c r="J501" s="136"/>
      <c r="K501" s="62"/>
      <c r="L501" s="62"/>
      <c r="M501" s="62"/>
      <c r="N501" s="62"/>
      <c r="O501" s="62"/>
      <c r="P501" s="62"/>
      <c r="Q501" s="62"/>
      <c r="R501" s="62"/>
    </row>
    <row r="502" spans="1:20" s="3" customFormat="1" hidden="1" x14ac:dyDescent="0.25">
      <c r="A502" s="16"/>
      <c r="B502" s="14"/>
      <c r="C502" s="15"/>
      <c r="D502" s="15"/>
      <c r="E502" s="15"/>
      <c r="F502" s="15"/>
      <c r="G502" s="70"/>
      <c r="H502" s="70"/>
      <c r="I502" s="70"/>
      <c r="J502" s="136"/>
      <c r="K502" s="62"/>
      <c r="L502" s="62"/>
      <c r="M502" s="62"/>
      <c r="N502" s="62"/>
      <c r="O502" s="62"/>
      <c r="P502" s="62"/>
      <c r="Q502" s="62"/>
      <c r="R502" s="62"/>
    </row>
    <row r="503" spans="1:20" ht="63" customHeight="1" x14ac:dyDescent="0.25">
      <c r="A503" s="117" t="s">
        <v>500</v>
      </c>
      <c r="B503" s="14">
        <v>793</v>
      </c>
      <c r="C503" s="15" t="s">
        <v>10</v>
      </c>
      <c r="D503" s="15" t="s">
        <v>38</v>
      </c>
      <c r="E503" s="15" t="s">
        <v>441</v>
      </c>
      <c r="F503" s="15"/>
      <c r="G503" s="70">
        <f>G504+G506</f>
        <v>455268.55</v>
      </c>
      <c r="H503" s="70">
        <f>H504+H506</f>
        <v>471679.3</v>
      </c>
      <c r="I503" s="70">
        <f>I504+I506</f>
        <v>488748.09</v>
      </c>
    </row>
    <row r="504" spans="1:20" s="3" customFormat="1" ht="52.8" x14ac:dyDescent="0.25">
      <c r="A504" s="78" t="s">
        <v>198</v>
      </c>
      <c r="B504" s="14">
        <v>793</v>
      </c>
      <c r="C504" s="15" t="s">
        <v>10</v>
      </c>
      <c r="D504" s="15" t="s">
        <v>38</v>
      </c>
      <c r="E504" s="15" t="s">
        <v>441</v>
      </c>
      <c r="F504" s="15" t="s">
        <v>41</v>
      </c>
      <c r="G504" s="70">
        <f>G505</f>
        <v>433852.55</v>
      </c>
      <c r="H504" s="70">
        <f>H505</f>
        <v>449479.3</v>
      </c>
      <c r="I504" s="70">
        <f>I505</f>
        <v>465948.09</v>
      </c>
      <c r="J504" s="99"/>
      <c r="P504" s="99"/>
      <c r="Q504" s="99"/>
      <c r="R504" s="99"/>
      <c r="S504" s="99"/>
      <c r="T504" s="99"/>
    </row>
    <row r="505" spans="1:20" s="3" customFormat="1" ht="26.4" x14ac:dyDescent="0.25">
      <c r="A505" s="78" t="s">
        <v>40</v>
      </c>
      <c r="B505" s="14">
        <v>793</v>
      </c>
      <c r="C505" s="15" t="s">
        <v>10</v>
      </c>
      <c r="D505" s="15" t="s">
        <v>38</v>
      </c>
      <c r="E505" s="15" t="s">
        <v>441</v>
      </c>
      <c r="F505" s="15" t="s">
        <v>42</v>
      </c>
      <c r="G505" s="70">
        <f>прил4.!G425</f>
        <v>433852.55</v>
      </c>
      <c r="H505" s="70">
        <f>прил4.!H425</f>
        <v>449479.3</v>
      </c>
      <c r="I505" s="70">
        <f>прил4.!I425</f>
        <v>465948.09</v>
      </c>
      <c r="J505" s="99"/>
      <c r="P505" s="99"/>
      <c r="Q505" s="99"/>
      <c r="R505" s="99"/>
      <c r="S505" s="99"/>
      <c r="T505" s="99"/>
    </row>
    <row r="506" spans="1:20" ht="25.5" customHeight="1" x14ac:dyDescent="0.25">
      <c r="A506" s="78" t="s">
        <v>199</v>
      </c>
      <c r="B506" s="14">
        <v>793</v>
      </c>
      <c r="C506" s="15" t="s">
        <v>10</v>
      </c>
      <c r="D506" s="15" t="s">
        <v>38</v>
      </c>
      <c r="E506" s="15" t="s">
        <v>441</v>
      </c>
      <c r="F506" s="15" t="s">
        <v>26</v>
      </c>
      <c r="G506" s="70">
        <f>G507</f>
        <v>21416</v>
      </c>
      <c r="H506" s="70">
        <f>H507</f>
        <v>22200</v>
      </c>
      <c r="I506" s="70">
        <f>I507</f>
        <v>22800</v>
      </c>
    </row>
    <row r="507" spans="1:20" ht="25.5" customHeight="1" x14ac:dyDescent="0.25">
      <c r="A507" s="78" t="s">
        <v>27</v>
      </c>
      <c r="B507" s="14">
        <v>793</v>
      </c>
      <c r="C507" s="15" t="s">
        <v>10</v>
      </c>
      <c r="D507" s="15" t="s">
        <v>38</v>
      </c>
      <c r="E507" s="15" t="s">
        <v>441</v>
      </c>
      <c r="F507" s="15" t="s">
        <v>28</v>
      </c>
      <c r="G507" s="70">
        <f>прил4.!G427</f>
        <v>21416</v>
      </c>
      <c r="H507" s="70">
        <f>прил4.!H427</f>
        <v>22200</v>
      </c>
      <c r="I507" s="70">
        <f>прил4.!I427</f>
        <v>22800</v>
      </c>
    </row>
    <row r="508" spans="1:20" s="46" customFormat="1" ht="90" customHeight="1" x14ac:dyDescent="0.25">
      <c r="A508" s="117" t="s">
        <v>501</v>
      </c>
      <c r="B508" s="14">
        <v>793</v>
      </c>
      <c r="C508" s="15" t="s">
        <v>10</v>
      </c>
      <c r="D508" s="15" t="s">
        <v>38</v>
      </c>
      <c r="E508" s="15" t="s">
        <v>437</v>
      </c>
      <c r="F508" s="15"/>
      <c r="G508" s="70">
        <f t="shared" ref="G508:I509" si="195">G509</f>
        <v>14000</v>
      </c>
      <c r="H508" s="70">
        <f t="shared" si="195"/>
        <v>14000</v>
      </c>
      <c r="I508" s="70">
        <f t="shared" si="195"/>
        <v>14000</v>
      </c>
      <c r="J508" s="98"/>
      <c r="P508" s="98"/>
      <c r="Q508" s="98"/>
      <c r="R508" s="98"/>
      <c r="S508" s="98"/>
      <c r="T508" s="98"/>
    </row>
    <row r="509" spans="1:20" s="46" customFormat="1" ht="23.25" customHeight="1" x14ac:dyDescent="0.25">
      <c r="A509" s="16" t="s">
        <v>199</v>
      </c>
      <c r="B509" s="14">
        <v>793</v>
      </c>
      <c r="C509" s="15" t="s">
        <v>10</v>
      </c>
      <c r="D509" s="15" t="s">
        <v>38</v>
      </c>
      <c r="E509" s="15" t="s">
        <v>437</v>
      </c>
      <c r="F509" s="15" t="s">
        <v>26</v>
      </c>
      <c r="G509" s="81">
        <f t="shared" si="195"/>
        <v>14000</v>
      </c>
      <c r="H509" s="81">
        <f t="shared" si="195"/>
        <v>14000</v>
      </c>
      <c r="I509" s="81">
        <f t="shared" si="195"/>
        <v>14000</v>
      </c>
      <c r="J509" s="98"/>
      <c r="P509" s="98"/>
      <c r="Q509" s="98"/>
      <c r="R509" s="98"/>
      <c r="S509" s="98"/>
      <c r="T509" s="98"/>
    </row>
    <row r="510" spans="1:20" s="46" customFormat="1" ht="35.25" customHeight="1" x14ac:dyDescent="0.25">
      <c r="A510" s="16" t="s">
        <v>27</v>
      </c>
      <c r="B510" s="14">
        <v>793</v>
      </c>
      <c r="C510" s="15" t="s">
        <v>10</v>
      </c>
      <c r="D510" s="15" t="s">
        <v>38</v>
      </c>
      <c r="E510" s="15" t="s">
        <v>437</v>
      </c>
      <c r="F510" s="15" t="s">
        <v>28</v>
      </c>
      <c r="G510" s="81">
        <f>прил4.!G430</f>
        <v>14000</v>
      </c>
      <c r="H510" s="81">
        <f>прил4.!H430</f>
        <v>14000</v>
      </c>
      <c r="I510" s="81">
        <f>прил4.!I430</f>
        <v>14000</v>
      </c>
      <c r="J510" s="98"/>
      <c r="P510" s="98"/>
      <c r="Q510" s="98"/>
      <c r="R510" s="98"/>
      <c r="S510" s="98"/>
      <c r="T510" s="98"/>
    </row>
    <row r="511" spans="1:20" s="22" customFormat="1" ht="26.25" customHeight="1" x14ac:dyDescent="0.25">
      <c r="A511" s="96" t="s">
        <v>228</v>
      </c>
      <c r="B511" s="35">
        <v>794</v>
      </c>
      <c r="C511" s="36" t="s">
        <v>10</v>
      </c>
      <c r="D511" s="36" t="s">
        <v>49</v>
      </c>
      <c r="E511" s="36" t="s">
        <v>169</v>
      </c>
      <c r="F511" s="36"/>
      <c r="G511" s="71">
        <f>G512+G516+G520</f>
        <v>4363750</v>
      </c>
      <c r="H511" s="71">
        <f t="shared" ref="H511:I511" si="196">H512+H516+H520</f>
        <v>4911478</v>
      </c>
      <c r="I511" s="71">
        <f t="shared" si="196"/>
        <v>4964861</v>
      </c>
      <c r="J511" s="21">
        <v>1141737</v>
      </c>
      <c r="P511" s="21"/>
      <c r="Q511" s="21"/>
      <c r="R511" s="21"/>
      <c r="S511" s="21"/>
      <c r="T511" s="21"/>
    </row>
    <row r="512" spans="1:20" s="33" customFormat="1" ht="26.4" x14ac:dyDescent="0.25">
      <c r="A512" s="78" t="s">
        <v>395</v>
      </c>
      <c r="B512" s="14">
        <v>794</v>
      </c>
      <c r="C512" s="15" t="s">
        <v>10</v>
      </c>
      <c r="D512" s="15" t="s">
        <v>49</v>
      </c>
      <c r="E512" s="15" t="s">
        <v>170</v>
      </c>
      <c r="F512" s="39"/>
      <c r="G512" s="81">
        <f>G513</f>
        <v>1664847</v>
      </c>
      <c r="H512" s="81">
        <f t="shared" ref="H512:I514" si="197">H513</f>
        <v>1681495</v>
      </c>
      <c r="I512" s="81">
        <f t="shared" si="197"/>
        <v>1698310</v>
      </c>
      <c r="J512" s="101">
        <v>541620</v>
      </c>
      <c r="P512" s="101"/>
      <c r="Q512" s="101"/>
      <c r="R512" s="101"/>
      <c r="S512" s="101"/>
      <c r="T512" s="101"/>
    </row>
    <row r="513" spans="1:20" s="33" customFormat="1" ht="26.4" x14ac:dyDescent="0.25">
      <c r="A513" s="16" t="s">
        <v>55</v>
      </c>
      <c r="B513" s="14">
        <v>794</v>
      </c>
      <c r="C513" s="15" t="s">
        <v>10</v>
      </c>
      <c r="D513" s="15" t="s">
        <v>49</v>
      </c>
      <c r="E513" s="15" t="s">
        <v>171</v>
      </c>
      <c r="F513" s="15"/>
      <c r="G513" s="81">
        <f>G514</f>
        <v>1664847</v>
      </c>
      <c r="H513" s="81">
        <f t="shared" si="197"/>
        <v>1681495</v>
      </c>
      <c r="I513" s="81">
        <f t="shared" si="197"/>
        <v>1698310</v>
      </c>
      <c r="J513" s="101">
        <v>797785</v>
      </c>
      <c r="P513" s="101"/>
      <c r="Q513" s="101"/>
      <c r="R513" s="101"/>
      <c r="S513" s="101"/>
      <c r="T513" s="101"/>
    </row>
    <row r="514" spans="1:20" s="33" customFormat="1" ht="61.5" customHeight="1" x14ac:dyDescent="0.25">
      <c r="A514" s="56" t="s">
        <v>39</v>
      </c>
      <c r="B514" s="14">
        <v>794</v>
      </c>
      <c r="C514" s="15" t="s">
        <v>10</v>
      </c>
      <c r="D514" s="15" t="s">
        <v>49</v>
      </c>
      <c r="E514" s="15" t="s">
        <v>171</v>
      </c>
      <c r="F514" s="15" t="s">
        <v>41</v>
      </c>
      <c r="G514" s="81">
        <f>G515</f>
        <v>1664847</v>
      </c>
      <c r="H514" s="81">
        <f t="shared" si="197"/>
        <v>1681495</v>
      </c>
      <c r="I514" s="81">
        <f t="shared" si="197"/>
        <v>1698310</v>
      </c>
      <c r="J514" s="101">
        <v>630505</v>
      </c>
      <c r="P514" s="101"/>
      <c r="Q514" s="101"/>
      <c r="R514" s="101"/>
      <c r="S514" s="101"/>
      <c r="T514" s="101"/>
    </row>
    <row r="515" spans="1:20" ht="26.4" x14ac:dyDescent="0.25">
      <c r="A515" s="56" t="s">
        <v>40</v>
      </c>
      <c r="B515" s="14">
        <v>794</v>
      </c>
      <c r="C515" s="15" t="s">
        <v>10</v>
      </c>
      <c r="D515" s="15" t="s">
        <v>49</v>
      </c>
      <c r="E515" s="15" t="s">
        <v>171</v>
      </c>
      <c r="F515" s="15" t="s">
        <v>42</v>
      </c>
      <c r="G515" s="81">
        <f>прил4.!G706</f>
        <v>1664847</v>
      </c>
      <c r="H515" s="81">
        <f>прил4.!H706</f>
        <v>1681495</v>
      </c>
      <c r="I515" s="81">
        <f>прил4.!I706</f>
        <v>1698310</v>
      </c>
      <c r="J515" s="101">
        <v>1885891</v>
      </c>
    </row>
    <row r="516" spans="1:20" s="33" customFormat="1" ht="15.75" customHeight="1" x14ac:dyDescent="0.25">
      <c r="A516" s="78" t="s">
        <v>396</v>
      </c>
      <c r="B516" s="14">
        <v>794</v>
      </c>
      <c r="C516" s="15" t="s">
        <v>10</v>
      </c>
      <c r="D516" s="15" t="s">
        <v>49</v>
      </c>
      <c r="E516" s="15" t="s">
        <v>172</v>
      </c>
      <c r="F516" s="39"/>
      <c r="G516" s="81">
        <f>G517</f>
        <v>649944</v>
      </c>
      <c r="H516" s="81">
        <f t="shared" ref="H516:I518" si="198">H517</f>
        <v>649944</v>
      </c>
      <c r="I516" s="81">
        <f t="shared" si="198"/>
        <v>649944</v>
      </c>
      <c r="J516" s="101">
        <v>61300</v>
      </c>
      <c r="P516" s="101"/>
      <c r="Q516" s="101"/>
      <c r="R516" s="101"/>
      <c r="S516" s="101"/>
      <c r="T516" s="101"/>
    </row>
    <row r="517" spans="1:20" s="33" customFormat="1" ht="26.4" x14ac:dyDescent="0.25">
      <c r="A517" s="16" t="s">
        <v>55</v>
      </c>
      <c r="B517" s="14">
        <v>794</v>
      </c>
      <c r="C517" s="15" t="s">
        <v>10</v>
      </c>
      <c r="D517" s="15" t="s">
        <v>49</v>
      </c>
      <c r="E517" s="15" t="s">
        <v>173</v>
      </c>
      <c r="F517" s="15"/>
      <c r="G517" s="81">
        <f>G518</f>
        <v>649944</v>
      </c>
      <c r="H517" s="81">
        <f t="shared" si="198"/>
        <v>649944</v>
      </c>
      <c r="I517" s="81">
        <f t="shared" si="198"/>
        <v>649944</v>
      </c>
      <c r="J517" s="101">
        <f>SUM(J511:J516)</f>
        <v>5058838</v>
      </c>
      <c r="P517" s="101"/>
      <c r="Q517" s="101"/>
      <c r="R517" s="101"/>
      <c r="S517" s="101"/>
      <c r="T517" s="101"/>
    </row>
    <row r="518" spans="1:20" s="33" customFormat="1" ht="52.8" x14ac:dyDescent="0.25">
      <c r="A518" s="56" t="s">
        <v>39</v>
      </c>
      <c r="B518" s="14">
        <v>794</v>
      </c>
      <c r="C518" s="15" t="s">
        <v>10</v>
      </c>
      <c r="D518" s="15" t="s">
        <v>49</v>
      </c>
      <c r="E518" s="15" t="s">
        <v>173</v>
      </c>
      <c r="F518" s="15" t="s">
        <v>41</v>
      </c>
      <c r="G518" s="81">
        <f>G519</f>
        <v>649944</v>
      </c>
      <c r="H518" s="81">
        <f t="shared" si="198"/>
        <v>649944</v>
      </c>
      <c r="I518" s="81">
        <f t="shared" si="198"/>
        <v>649944</v>
      </c>
      <c r="J518" s="101"/>
      <c r="P518" s="101"/>
      <c r="Q518" s="101"/>
      <c r="R518" s="101"/>
      <c r="S518" s="101"/>
      <c r="T518" s="101"/>
    </row>
    <row r="519" spans="1:20" s="33" customFormat="1" ht="26.4" x14ac:dyDescent="0.25">
      <c r="A519" s="56" t="s">
        <v>40</v>
      </c>
      <c r="B519" s="14">
        <v>794</v>
      </c>
      <c r="C519" s="15" t="s">
        <v>10</v>
      </c>
      <c r="D519" s="15" t="s">
        <v>49</v>
      </c>
      <c r="E519" s="15" t="s">
        <v>173</v>
      </c>
      <c r="F519" s="15" t="s">
        <v>42</v>
      </c>
      <c r="G519" s="81">
        <f>прил4.!G710</f>
        <v>649944</v>
      </c>
      <c r="H519" s="81">
        <f>прил4.!H708</f>
        <v>649944</v>
      </c>
      <c r="I519" s="81">
        <f>прил4.!I708</f>
        <v>649944</v>
      </c>
      <c r="J519" s="101"/>
      <c r="P519" s="101"/>
      <c r="Q519" s="101"/>
      <c r="R519" s="101"/>
      <c r="S519" s="101"/>
      <c r="T519" s="101"/>
    </row>
    <row r="520" spans="1:20" x14ac:dyDescent="0.25">
      <c r="A520" s="56" t="s">
        <v>229</v>
      </c>
      <c r="B520" s="14">
        <v>794</v>
      </c>
      <c r="C520" s="15" t="s">
        <v>10</v>
      </c>
      <c r="D520" s="15" t="s">
        <v>49</v>
      </c>
      <c r="E520" s="15" t="s">
        <v>174</v>
      </c>
      <c r="F520" s="15"/>
      <c r="G520" s="81">
        <f>G521</f>
        <v>2048959</v>
      </c>
      <c r="H520" s="81">
        <f>H521</f>
        <v>2580039</v>
      </c>
      <c r="I520" s="81">
        <f>I521</f>
        <v>2616607</v>
      </c>
    </row>
    <row r="521" spans="1:20" s="33" customFormat="1" ht="26.4" x14ac:dyDescent="0.25">
      <c r="A521" s="16" t="s">
        <v>55</v>
      </c>
      <c r="B521" s="14">
        <v>794</v>
      </c>
      <c r="C521" s="15" t="s">
        <v>10</v>
      </c>
      <c r="D521" s="15" t="s">
        <v>49</v>
      </c>
      <c r="E521" s="15" t="s">
        <v>175</v>
      </c>
      <c r="F521" s="39"/>
      <c r="G521" s="81">
        <f>G522+G524</f>
        <v>2048959</v>
      </c>
      <c r="H521" s="81">
        <f>H522+H524</f>
        <v>2580039</v>
      </c>
      <c r="I521" s="81">
        <f>I522+I524</f>
        <v>2616607</v>
      </c>
      <c r="J521" s="101"/>
      <c r="P521" s="101"/>
      <c r="Q521" s="101"/>
      <c r="R521" s="101"/>
      <c r="S521" s="101"/>
      <c r="T521" s="101"/>
    </row>
    <row r="522" spans="1:20" ht="52.8" x14ac:dyDescent="0.25">
      <c r="A522" s="56" t="s">
        <v>39</v>
      </c>
      <c r="B522" s="14">
        <v>794</v>
      </c>
      <c r="C522" s="15" t="s">
        <v>10</v>
      </c>
      <c r="D522" s="15" t="s">
        <v>49</v>
      </c>
      <c r="E522" s="15" t="s">
        <v>175</v>
      </c>
      <c r="F522" s="15" t="s">
        <v>41</v>
      </c>
      <c r="G522" s="81">
        <f>G523</f>
        <v>1590089</v>
      </c>
      <c r="H522" s="81">
        <f>H523</f>
        <v>2006389</v>
      </c>
      <c r="I522" s="81">
        <f>I523</f>
        <v>2035985</v>
      </c>
    </row>
    <row r="523" spans="1:20" ht="26.4" x14ac:dyDescent="0.25">
      <c r="A523" s="56" t="s">
        <v>40</v>
      </c>
      <c r="B523" s="14">
        <v>794</v>
      </c>
      <c r="C523" s="15" t="s">
        <v>10</v>
      </c>
      <c r="D523" s="15" t="s">
        <v>49</v>
      </c>
      <c r="E523" s="15" t="s">
        <v>175</v>
      </c>
      <c r="F523" s="15" t="s">
        <v>42</v>
      </c>
      <c r="G523" s="81">
        <f>прил4.!G714</f>
        <v>1590089</v>
      </c>
      <c r="H523" s="81">
        <f>прил4.!H714</f>
        <v>2006389</v>
      </c>
      <c r="I523" s="81">
        <f>прил4.!I714</f>
        <v>2035985</v>
      </c>
    </row>
    <row r="524" spans="1:20" ht="26.4" x14ac:dyDescent="0.25">
      <c r="A524" s="16" t="s">
        <v>25</v>
      </c>
      <c r="B524" s="14">
        <v>794</v>
      </c>
      <c r="C524" s="15" t="s">
        <v>10</v>
      </c>
      <c r="D524" s="15" t="s">
        <v>49</v>
      </c>
      <c r="E524" s="15" t="s">
        <v>175</v>
      </c>
      <c r="F524" s="15" t="s">
        <v>26</v>
      </c>
      <c r="G524" s="81">
        <f>G525</f>
        <v>458870</v>
      </c>
      <c r="H524" s="81">
        <f>H525</f>
        <v>573650</v>
      </c>
      <c r="I524" s="81">
        <f>I525</f>
        <v>580622</v>
      </c>
    </row>
    <row r="525" spans="1:20" ht="26.4" x14ac:dyDescent="0.25">
      <c r="A525" s="16" t="s">
        <v>27</v>
      </c>
      <c r="B525" s="14">
        <v>794</v>
      </c>
      <c r="C525" s="15" t="s">
        <v>10</v>
      </c>
      <c r="D525" s="15" t="s">
        <v>49</v>
      </c>
      <c r="E525" s="15" t="s">
        <v>175</v>
      </c>
      <c r="F525" s="15" t="s">
        <v>28</v>
      </c>
      <c r="G525" s="81">
        <f>прил4.!G716</f>
        <v>458870</v>
      </c>
      <c r="H525" s="81">
        <f>прил4.!H716</f>
        <v>573650</v>
      </c>
      <c r="I525" s="81">
        <f>прил4.!I716</f>
        <v>580622</v>
      </c>
    </row>
    <row r="526" spans="1:20" s="22" customFormat="1" ht="36" customHeight="1" x14ac:dyDescent="0.25">
      <c r="A526" s="96" t="s">
        <v>398</v>
      </c>
      <c r="B526" s="35">
        <v>799</v>
      </c>
      <c r="C526" s="36" t="s">
        <v>10</v>
      </c>
      <c r="D526" s="36" t="s">
        <v>92</v>
      </c>
      <c r="E526" s="36" t="s">
        <v>302</v>
      </c>
      <c r="F526" s="36"/>
      <c r="G526" s="71">
        <f>G527</f>
        <v>3187528</v>
      </c>
      <c r="H526" s="71">
        <f t="shared" ref="H526:I526" si="199">H527</f>
        <v>3279736</v>
      </c>
      <c r="I526" s="71">
        <f t="shared" si="199"/>
        <v>3395724</v>
      </c>
      <c r="P526" s="21"/>
      <c r="Q526" s="21"/>
      <c r="R526" s="21"/>
      <c r="S526" s="21"/>
      <c r="T526" s="21"/>
    </row>
    <row r="527" spans="1:20" s="46" customFormat="1" ht="26.4" x14ac:dyDescent="0.25">
      <c r="A527" s="16" t="s">
        <v>55</v>
      </c>
      <c r="B527" s="14">
        <v>794</v>
      </c>
      <c r="C527" s="15" t="s">
        <v>10</v>
      </c>
      <c r="D527" s="15" t="s">
        <v>92</v>
      </c>
      <c r="E527" s="15" t="s">
        <v>303</v>
      </c>
      <c r="F527" s="15"/>
      <c r="G527" s="81">
        <f>G528+G530</f>
        <v>3187528</v>
      </c>
      <c r="H527" s="81">
        <f t="shared" ref="H527:I527" si="200">H528+H530</f>
        <v>3279736</v>
      </c>
      <c r="I527" s="81">
        <f t="shared" si="200"/>
        <v>3395724</v>
      </c>
      <c r="J527" s="98"/>
      <c r="P527" s="98"/>
      <c r="Q527" s="98"/>
      <c r="R527" s="98"/>
      <c r="S527" s="98"/>
      <c r="T527" s="98"/>
    </row>
    <row r="528" spans="1:20" s="3" customFormat="1" ht="63" customHeight="1" x14ac:dyDescent="0.25">
      <c r="A528" s="56" t="s">
        <v>39</v>
      </c>
      <c r="B528" s="14">
        <v>794</v>
      </c>
      <c r="C528" s="15" t="s">
        <v>10</v>
      </c>
      <c r="D528" s="15" t="s">
        <v>92</v>
      </c>
      <c r="E528" s="15" t="s">
        <v>303</v>
      </c>
      <c r="F528" s="15" t="s">
        <v>41</v>
      </c>
      <c r="G528" s="81">
        <f>G529</f>
        <v>3091928</v>
      </c>
      <c r="H528" s="81">
        <f>H529</f>
        <v>3167136</v>
      </c>
      <c r="I528" s="81">
        <f>I529</f>
        <v>3283124</v>
      </c>
      <c r="J528" s="99"/>
      <c r="P528" s="99"/>
      <c r="Q528" s="99"/>
      <c r="R528" s="99"/>
      <c r="S528" s="99"/>
      <c r="T528" s="99"/>
    </row>
    <row r="529" spans="1:21" s="3" customFormat="1" ht="26.4" x14ac:dyDescent="0.25">
      <c r="A529" s="56" t="s">
        <v>40</v>
      </c>
      <c r="B529" s="14">
        <v>794</v>
      </c>
      <c r="C529" s="15" t="s">
        <v>10</v>
      </c>
      <c r="D529" s="15" t="s">
        <v>92</v>
      </c>
      <c r="E529" s="15" t="s">
        <v>303</v>
      </c>
      <c r="F529" s="15" t="s">
        <v>42</v>
      </c>
      <c r="G529" s="81">
        <f>прил4.!G730</f>
        <v>3091928</v>
      </c>
      <c r="H529" s="81">
        <f>прил4.!H730</f>
        <v>3167136</v>
      </c>
      <c r="I529" s="81">
        <f>прил4.!I730</f>
        <v>3283124</v>
      </c>
      <c r="J529" s="99"/>
      <c r="P529" s="99"/>
      <c r="Q529" s="99"/>
      <c r="R529" s="99"/>
      <c r="S529" s="99"/>
      <c r="T529" s="99"/>
    </row>
    <row r="530" spans="1:21" s="3" customFormat="1" ht="26.4" x14ac:dyDescent="0.25">
      <c r="A530" s="16" t="s">
        <v>25</v>
      </c>
      <c r="B530" s="14">
        <v>794</v>
      </c>
      <c r="C530" s="15" t="s">
        <v>10</v>
      </c>
      <c r="D530" s="15" t="s">
        <v>92</v>
      </c>
      <c r="E530" s="15" t="s">
        <v>303</v>
      </c>
      <c r="F530" s="15" t="s">
        <v>26</v>
      </c>
      <c r="G530" s="81">
        <f>G531</f>
        <v>95600</v>
      </c>
      <c r="H530" s="81">
        <f>H531</f>
        <v>112600</v>
      </c>
      <c r="I530" s="81">
        <f>I531</f>
        <v>112600</v>
      </c>
      <c r="J530" s="99"/>
      <c r="P530" s="99"/>
      <c r="Q530" s="99"/>
      <c r="R530" s="99"/>
      <c r="S530" s="99"/>
      <c r="T530" s="99"/>
    </row>
    <row r="531" spans="1:21" s="3" customFormat="1" ht="26.4" x14ac:dyDescent="0.25">
      <c r="A531" s="16" t="s">
        <v>27</v>
      </c>
      <c r="B531" s="14">
        <v>794</v>
      </c>
      <c r="C531" s="15" t="s">
        <v>10</v>
      </c>
      <c r="D531" s="15" t="s">
        <v>92</v>
      </c>
      <c r="E531" s="15" t="s">
        <v>303</v>
      </c>
      <c r="F531" s="15" t="s">
        <v>28</v>
      </c>
      <c r="G531" s="81">
        <f>прил4.!G732</f>
        <v>95600</v>
      </c>
      <c r="H531" s="81">
        <f>прил4.!H732</f>
        <v>112600</v>
      </c>
      <c r="I531" s="81">
        <f>прил4.!I732</f>
        <v>112600</v>
      </c>
      <c r="J531" s="99"/>
      <c r="P531" s="99"/>
      <c r="Q531" s="99"/>
      <c r="R531" s="99"/>
      <c r="S531" s="99"/>
      <c r="T531" s="99"/>
    </row>
    <row r="532" spans="1:21" s="22" customFormat="1" ht="38.25" customHeight="1" x14ac:dyDescent="0.25">
      <c r="A532" s="218" t="s">
        <v>205</v>
      </c>
      <c r="B532" s="35">
        <v>793</v>
      </c>
      <c r="C532" s="36" t="s">
        <v>10</v>
      </c>
      <c r="D532" s="36" t="s">
        <v>14</v>
      </c>
      <c r="E532" s="36" t="s">
        <v>159</v>
      </c>
      <c r="F532" s="36"/>
      <c r="G532" s="71">
        <f>G533</f>
        <v>30267469.169999998</v>
      </c>
      <c r="H532" s="71">
        <f>H533</f>
        <v>30267469.169999998</v>
      </c>
      <c r="I532" s="71">
        <f>I533</f>
        <v>30267469.169999998</v>
      </c>
      <c r="J532" s="21">
        <v>8109357</v>
      </c>
      <c r="P532" s="21"/>
      <c r="Q532" s="21"/>
      <c r="R532" s="21"/>
      <c r="S532" s="21"/>
      <c r="T532" s="21"/>
    </row>
    <row r="533" spans="1:21" s="84" customFormat="1" ht="32.25" customHeight="1" x14ac:dyDescent="0.25">
      <c r="A533" s="78" t="s">
        <v>35</v>
      </c>
      <c r="B533" s="120">
        <v>793</v>
      </c>
      <c r="C533" s="79" t="s">
        <v>10</v>
      </c>
      <c r="D533" s="79" t="s">
        <v>14</v>
      </c>
      <c r="E533" s="79" t="s">
        <v>184</v>
      </c>
      <c r="F533" s="79"/>
      <c r="G533" s="81">
        <f>G534+G536+G538</f>
        <v>30267469.169999998</v>
      </c>
      <c r="H533" s="81">
        <f>H534+H536+H538</f>
        <v>30267469.169999998</v>
      </c>
      <c r="I533" s="81">
        <f>I534+I536+I538</f>
        <v>30267469.169999998</v>
      </c>
      <c r="J533" s="107">
        <v>6041147</v>
      </c>
      <c r="P533" s="107"/>
      <c r="Q533" s="107"/>
      <c r="R533" s="107"/>
      <c r="S533" s="107"/>
      <c r="T533" s="107"/>
    </row>
    <row r="534" spans="1:21" s="84" customFormat="1" ht="52.8" x14ac:dyDescent="0.25">
      <c r="A534" s="78" t="s">
        <v>198</v>
      </c>
      <c r="B534" s="120">
        <v>793</v>
      </c>
      <c r="C534" s="79" t="s">
        <v>10</v>
      </c>
      <c r="D534" s="79" t="s">
        <v>14</v>
      </c>
      <c r="E534" s="79" t="s">
        <v>184</v>
      </c>
      <c r="F534" s="79" t="s">
        <v>41</v>
      </c>
      <c r="G534" s="81">
        <f>G535</f>
        <v>17362698.169999998</v>
      </c>
      <c r="H534" s="81">
        <f>H535</f>
        <v>17362698.169999998</v>
      </c>
      <c r="I534" s="81">
        <f>I535</f>
        <v>17362698.169999998</v>
      </c>
      <c r="J534" s="107">
        <v>496800</v>
      </c>
      <c r="P534" s="107"/>
      <c r="Q534" s="107"/>
      <c r="R534" s="107"/>
      <c r="S534" s="107"/>
      <c r="T534" s="107"/>
    </row>
    <row r="535" spans="1:21" s="84" customFormat="1" x14ac:dyDescent="0.25">
      <c r="A535" s="78" t="s">
        <v>201</v>
      </c>
      <c r="B535" s="120"/>
      <c r="C535" s="79"/>
      <c r="D535" s="79"/>
      <c r="E535" s="79" t="s">
        <v>184</v>
      </c>
      <c r="F535" s="79" t="s">
        <v>200</v>
      </c>
      <c r="G535" s="81">
        <f>прил4.!G479</f>
        <v>17362698.169999998</v>
      </c>
      <c r="H535" s="81">
        <f>прил4.!H479</f>
        <v>17362698.169999998</v>
      </c>
      <c r="I535" s="81">
        <f>прил4.!I479</f>
        <v>17362698.169999998</v>
      </c>
      <c r="J535" s="107">
        <f>SUM(J532:J534)</f>
        <v>14647304</v>
      </c>
      <c r="P535" s="107"/>
      <c r="Q535" s="107"/>
      <c r="R535" s="107"/>
      <c r="S535" s="107"/>
      <c r="T535" s="107"/>
    </row>
    <row r="536" spans="1:21" s="84" customFormat="1" ht="24" customHeight="1" x14ac:dyDescent="0.25">
      <c r="A536" s="78" t="s">
        <v>199</v>
      </c>
      <c r="B536" s="120">
        <v>793</v>
      </c>
      <c r="C536" s="79" t="s">
        <v>10</v>
      </c>
      <c r="D536" s="79" t="s">
        <v>14</v>
      </c>
      <c r="E536" s="79" t="s">
        <v>184</v>
      </c>
      <c r="F536" s="79" t="s">
        <v>26</v>
      </c>
      <c r="G536" s="81">
        <f>G537</f>
        <v>12714771</v>
      </c>
      <c r="H536" s="81">
        <f>H537</f>
        <v>12714771</v>
      </c>
      <c r="I536" s="81">
        <f>I537</f>
        <v>12714771</v>
      </c>
      <c r="J536" s="107"/>
      <c r="P536" s="107"/>
      <c r="Q536" s="107"/>
      <c r="R536" s="107"/>
      <c r="S536" s="107"/>
      <c r="T536" s="107"/>
    </row>
    <row r="537" spans="1:21" s="84" customFormat="1" ht="24" customHeight="1" x14ac:dyDescent="0.25">
      <c r="A537" s="78" t="s">
        <v>27</v>
      </c>
      <c r="B537" s="120">
        <v>793</v>
      </c>
      <c r="C537" s="79" t="s">
        <v>10</v>
      </c>
      <c r="D537" s="79" t="s">
        <v>14</v>
      </c>
      <c r="E537" s="79" t="s">
        <v>184</v>
      </c>
      <c r="F537" s="79" t="s">
        <v>28</v>
      </c>
      <c r="G537" s="81">
        <f>прил4.!G481</f>
        <v>12714771</v>
      </c>
      <c r="H537" s="81">
        <f>прил4.!H481</f>
        <v>12714771</v>
      </c>
      <c r="I537" s="81">
        <f>прил4.!I481</f>
        <v>12714771</v>
      </c>
      <c r="J537" s="107"/>
      <c r="P537" s="107"/>
      <c r="Q537" s="107"/>
      <c r="R537" s="107"/>
      <c r="S537" s="107"/>
      <c r="T537" s="107"/>
    </row>
    <row r="538" spans="1:21" s="84" customFormat="1" ht="24" customHeight="1" x14ac:dyDescent="0.25">
      <c r="A538" s="78" t="s">
        <v>43</v>
      </c>
      <c r="B538" s="120">
        <v>793</v>
      </c>
      <c r="C538" s="79" t="s">
        <v>10</v>
      </c>
      <c r="D538" s="79" t="s">
        <v>14</v>
      </c>
      <c r="E538" s="79" t="s">
        <v>184</v>
      </c>
      <c r="F538" s="79" t="s">
        <v>44</v>
      </c>
      <c r="G538" s="81">
        <f>G539</f>
        <v>190000</v>
      </c>
      <c r="H538" s="81">
        <f t="shared" ref="H538:I538" si="201">H539</f>
        <v>190000</v>
      </c>
      <c r="I538" s="81">
        <f t="shared" si="201"/>
        <v>190000</v>
      </c>
      <c r="J538" s="107"/>
      <c r="P538" s="107"/>
      <c r="Q538" s="107"/>
      <c r="R538" s="107"/>
      <c r="S538" s="107"/>
      <c r="T538" s="107"/>
    </row>
    <row r="539" spans="1:21" s="84" customFormat="1" ht="24" customHeight="1" x14ac:dyDescent="0.25">
      <c r="A539" s="78" t="s">
        <v>83</v>
      </c>
      <c r="B539" s="120">
        <v>793</v>
      </c>
      <c r="C539" s="79" t="s">
        <v>10</v>
      </c>
      <c r="D539" s="79" t="s">
        <v>14</v>
      </c>
      <c r="E539" s="79" t="s">
        <v>184</v>
      </c>
      <c r="F539" s="79" t="s">
        <v>46</v>
      </c>
      <c r="G539" s="81">
        <f>прил4.!G483</f>
        <v>190000</v>
      </c>
      <c r="H539" s="81">
        <f>прил4.!H483</f>
        <v>190000</v>
      </c>
      <c r="I539" s="81">
        <f>прил4.!I483</f>
        <v>190000</v>
      </c>
      <c r="J539" s="107"/>
      <c r="P539" s="107"/>
      <c r="Q539" s="107"/>
      <c r="R539" s="107"/>
      <c r="S539" s="107"/>
      <c r="T539" s="107"/>
    </row>
    <row r="540" spans="1:21" s="130" customFormat="1" ht="34.5" customHeight="1" x14ac:dyDescent="0.25">
      <c r="A540" s="294" t="s">
        <v>415</v>
      </c>
      <c r="B540" s="125">
        <v>793</v>
      </c>
      <c r="C540" s="126" t="s">
        <v>10</v>
      </c>
      <c r="D540" s="126" t="s">
        <v>51</v>
      </c>
      <c r="E540" s="126" t="s">
        <v>146</v>
      </c>
      <c r="F540" s="128"/>
      <c r="G540" s="127">
        <f>G541</f>
        <v>1000000</v>
      </c>
      <c r="H540" s="127">
        <f t="shared" ref="H540:I540" si="202">H541</f>
        <v>1000000</v>
      </c>
      <c r="I540" s="127">
        <f t="shared" si="202"/>
        <v>1000000</v>
      </c>
      <c r="J540" s="129">
        <v>1000000</v>
      </c>
      <c r="P540" s="129"/>
      <c r="Q540" s="129"/>
      <c r="R540" s="129"/>
      <c r="S540" s="129"/>
      <c r="T540" s="129"/>
    </row>
    <row r="541" spans="1:21" s="84" customFormat="1" ht="22.5" customHeight="1" x14ac:dyDescent="0.25">
      <c r="A541" s="114" t="s">
        <v>415</v>
      </c>
      <c r="B541" s="120">
        <v>793</v>
      </c>
      <c r="C541" s="79" t="s">
        <v>10</v>
      </c>
      <c r="D541" s="79" t="s">
        <v>51</v>
      </c>
      <c r="E541" s="79" t="s">
        <v>176</v>
      </c>
      <c r="F541" s="120"/>
      <c r="G541" s="81">
        <f>G542</f>
        <v>1000000</v>
      </c>
      <c r="H541" s="81">
        <f t="shared" ref="H541:U541" si="203">H542</f>
        <v>1000000</v>
      </c>
      <c r="I541" s="81">
        <f t="shared" si="203"/>
        <v>1000000</v>
      </c>
      <c r="J541" s="81">
        <f t="shared" si="203"/>
        <v>0</v>
      </c>
      <c r="K541" s="81">
        <f t="shared" si="203"/>
        <v>0</v>
      </c>
      <c r="L541" s="81">
        <f t="shared" si="203"/>
        <v>0</v>
      </c>
      <c r="M541" s="81">
        <f t="shared" si="203"/>
        <v>0</v>
      </c>
      <c r="N541" s="81">
        <f t="shared" si="203"/>
        <v>0</v>
      </c>
      <c r="O541" s="81">
        <f t="shared" si="203"/>
        <v>0</v>
      </c>
      <c r="P541" s="81">
        <f t="shared" si="203"/>
        <v>0</v>
      </c>
      <c r="Q541" s="81">
        <f t="shared" si="203"/>
        <v>0</v>
      </c>
      <c r="R541" s="81">
        <f t="shared" si="203"/>
        <v>0</v>
      </c>
      <c r="S541" s="81">
        <f t="shared" si="203"/>
        <v>0</v>
      </c>
      <c r="T541" s="81">
        <f t="shared" si="203"/>
        <v>0</v>
      </c>
      <c r="U541" s="81">
        <f t="shared" si="203"/>
        <v>0</v>
      </c>
    </row>
    <row r="542" spans="1:21" s="84" customFormat="1" ht="21.75" customHeight="1" x14ac:dyDescent="0.25">
      <c r="A542" s="78" t="s">
        <v>43</v>
      </c>
      <c r="B542" s="120">
        <v>793</v>
      </c>
      <c r="C542" s="79" t="s">
        <v>10</v>
      </c>
      <c r="D542" s="79" t="s">
        <v>51</v>
      </c>
      <c r="E542" s="79" t="s">
        <v>176</v>
      </c>
      <c r="F542" s="79" t="s">
        <v>44</v>
      </c>
      <c r="G542" s="81">
        <f>G543</f>
        <v>1000000</v>
      </c>
      <c r="H542" s="81">
        <f>H543</f>
        <v>1000000</v>
      </c>
      <c r="I542" s="81">
        <f>I543</f>
        <v>1000000</v>
      </c>
      <c r="J542" s="107"/>
      <c r="P542" s="107"/>
      <c r="Q542" s="107"/>
      <c r="R542" s="107"/>
      <c r="S542" s="107"/>
      <c r="T542" s="107"/>
    </row>
    <row r="543" spans="1:21" s="84" customFormat="1" ht="19.5" customHeight="1" x14ac:dyDescent="0.25">
      <c r="A543" s="78" t="s">
        <v>101</v>
      </c>
      <c r="B543" s="120">
        <v>793</v>
      </c>
      <c r="C543" s="79" t="s">
        <v>10</v>
      </c>
      <c r="D543" s="79" t="s">
        <v>51</v>
      </c>
      <c r="E543" s="79" t="s">
        <v>176</v>
      </c>
      <c r="F543" s="79" t="s">
        <v>102</v>
      </c>
      <c r="G543" s="81">
        <f>прил4.!G440</f>
        <v>1000000</v>
      </c>
      <c r="H543" s="81">
        <f>прил4.!H440</f>
        <v>1000000</v>
      </c>
      <c r="I543" s="81">
        <f>прил4.!I440</f>
        <v>1000000</v>
      </c>
      <c r="J543" s="107"/>
      <c r="P543" s="107"/>
      <c r="Q543" s="107"/>
      <c r="R543" s="107"/>
      <c r="S543" s="107"/>
      <c r="T543" s="107"/>
    </row>
    <row r="544" spans="1:21" s="106" customFormat="1" ht="26.25" customHeight="1" x14ac:dyDescent="0.25">
      <c r="A544" s="96" t="s">
        <v>93</v>
      </c>
      <c r="B544" s="125">
        <v>793</v>
      </c>
      <c r="C544" s="126" t="s">
        <v>10</v>
      </c>
      <c r="D544" s="126" t="s">
        <v>14</v>
      </c>
      <c r="E544" s="126" t="s">
        <v>127</v>
      </c>
      <c r="F544" s="126"/>
      <c r="G544" s="127">
        <f>G545</f>
        <v>3710956</v>
      </c>
      <c r="H544" s="127">
        <f t="shared" ref="H544:I544" si="204">H545</f>
        <v>3616371</v>
      </c>
      <c r="I544" s="127">
        <f t="shared" si="204"/>
        <v>3616034</v>
      </c>
      <c r="J544" s="105">
        <v>1487719</v>
      </c>
      <c r="P544" s="105"/>
      <c r="Q544" s="105"/>
      <c r="R544" s="105"/>
      <c r="S544" s="105"/>
      <c r="T544" s="105"/>
    </row>
    <row r="545" spans="1:20" s="84" customFormat="1" ht="20.25" customHeight="1" x14ac:dyDescent="0.25">
      <c r="A545" s="78" t="s">
        <v>206</v>
      </c>
      <c r="B545" s="120">
        <v>793</v>
      </c>
      <c r="C545" s="79" t="s">
        <v>10</v>
      </c>
      <c r="D545" s="79" t="s">
        <v>14</v>
      </c>
      <c r="E545" s="79" t="s">
        <v>128</v>
      </c>
      <c r="F545" s="79"/>
      <c r="G545" s="81">
        <f>G546</f>
        <v>3710956</v>
      </c>
      <c r="H545" s="81">
        <f t="shared" ref="H545:I545" si="205">H546</f>
        <v>3616371</v>
      </c>
      <c r="I545" s="81">
        <f t="shared" si="205"/>
        <v>3616034</v>
      </c>
      <c r="J545" s="107"/>
      <c r="P545" s="107"/>
      <c r="Q545" s="107"/>
      <c r="R545" s="107"/>
      <c r="S545" s="107"/>
      <c r="T545" s="107"/>
    </row>
    <row r="546" spans="1:20" s="84" customFormat="1" x14ac:dyDescent="0.25">
      <c r="A546" s="78" t="s">
        <v>43</v>
      </c>
      <c r="B546" s="120">
        <v>792</v>
      </c>
      <c r="C546" s="79" t="s">
        <v>10</v>
      </c>
      <c r="D546" s="79" t="s">
        <v>14</v>
      </c>
      <c r="E546" s="79" t="s">
        <v>128</v>
      </c>
      <c r="F546" s="79" t="s">
        <v>44</v>
      </c>
      <c r="G546" s="81">
        <f>G547</f>
        <v>3710956</v>
      </c>
      <c r="H546" s="81">
        <f t="shared" ref="H546:I546" si="206">H547</f>
        <v>3616371</v>
      </c>
      <c r="I546" s="81">
        <f t="shared" si="206"/>
        <v>3616034</v>
      </c>
      <c r="J546" s="107"/>
      <c r="P546" s="107"/>
      <c r="Q546" s="107"/>
      <c r="R546" s="107"/>
      <c r="S546" s="107"/>
      <c r="T546" s="107"/>
    </row>
    <row r="547" spans="1:20" s="84" customFormat="1" ht="18.75" customHeight="1" x14ac:dyDescent="0.25">
      <c r="A547" s="78" t="s">
        <v>203</v>
      </c>
      <c r="B547" s="120"/>
      <c r="C547" s="79"/>
      <c r="D547" s="79"/>
      <c r="E547" s="79" t="s">
        <v>128</v>
      </c>
      <c r="F547" s="79" t="s">
        <v>202</v>
      </c>
      <c r="G547" s="81">
        <f>прил4.!G365</f>
        <v>3710956</v>
      </c>
      <c r="H547" s="81">
        <f>прил4.!H365</f>
        <v>3616371</v>
      </c>
      <c r="I547" s="81">
        <f>прил4.!I365</f>
        <v>3616034</v>
      </c>
      <c r="J547" s="107"/>
      <c r="P547" s="107"/>
      <c r="Q547" s="107"/>
      <c r="R547" s="107"/>
      <c r="S547" s="107"/>
      <c r="T547" s="107"/>
    </row>
    <row r="548" spans="1:20" s="106" customFormat="1" ht="20.25" customHeight="1" x14ac:dyDescent="0.25">
      <c r="A548" s="96" t="s">
        <v>178</v>
      </c>
      <c r="B548" s="125">
        <v>793</v>
      </c>
      <c r="C548" s="126" t="s">
        <v>10</v>
      </c>
      <c r="D548" s="126" t="s">
        <v>98</v>
      </c>
      <c r="E548" s="126" t="s">
        <v>179</v>
      </c>
      <c r="F548" s="126"/>
      <c r="G548" s="127">
        <f>G549</f>
        <v>6104.51</v>
      </c>
      <c r="H548" s="127">
        <f t="shared" ref="H548:I548" si="207">H549</f>
        <v>147010.01</v>
      </c>
      <c r="I548" s="127">
        <f t="shared" si="207"/>
        <v>6044.77</v>
      </c>
      <c r="J548" s="105"/>
      <c r="P548" s="105"/>
      <c r="Q548" s="105"/>
      <c r="R548" s="105"/>
      <c r="S548" s="105"/>
      <c r="T548" s="105"/>
    </row>
    <row r="549" spans="1:20" s="121" customFormat="1" ht="81" customHeight="1" x14ac:dyDescent="0.25">
      <c r="A549" s="117" t="s">
        <v>436</v>
      </c>
      <c r="B549" s="120">
        <v>793</v>
      </c>
      <c r="C549" s="79" t="s">
        <v>10</v>
      </c>
      <c r="D549" s="79" t="s">
        <v>98</v>
      </c>
      <c r="E549" s="15" t="s">
        <v>435</v>
      </c>
      <c r="F549" s="79"/>
      <c r="G549" s="81">
        <f t="shared" ref="G549:I550" si="208">G550</f>
        <v>6104.51</v>
      </c>
      <c r="H549" s="81">
        <f t="shared" si="208"/>
        <v>147010.01</v>
      </c>
      <c r="I549" s="81">
        <f t="shared" si="208"/>
        <v>6044.77</v>
      </c>
      <c r="J549" s="123">
        <v>11200</v>
      </c>
      <c r="P549" s="123"/>
      <c r="Q549" s="123"/>
      <c r="R549" s="123"/>
      <c r="S549" s="123"/>
      <c r="T549" s="123"/>
    </row>
    <row r="550" spans="1:20" s="121" customFormat="1" x14ac:dyDescent="0.25">
      <c r="A550" s="78" t="s">
        <v>199</v>
      </c>
      <c r="B550" s="120">
        <v>793</v>
      </c>
      <c r="C550" s="79" t="s">
        <v>10</v>
      </c>
      <c r="D550" s="79" t="s">
        <v>98</v>
      </c>
      <c r="E550" s="15" t="s">
        <v>435</v>
      </c>
      <c r="F550" s="79" t="s">
        <v>26</v>
      </c>
      <c r="G550" s="81">
        <f t="shared" si="208"/>
        <v>6104.51</v>
      </c>
      <c r="H550" s="81">
        <f t="shared" si="208"/>
        <v>147010.01</v>
      </c>
      <c r="I550" s="81">
        <f t="shared" si="208"/>
        <v>6044.77</v>
      </c>
      <c r="J550" s="123"/>
      <c r="P550" s="123"/>
      <c r="Q550" s="123"/>
      <c r="R550" s="123"/>
      <c r="S550" s="123"/>
      <c r="T550" s="123"/>
    </row>
    <row r="551" spans="1:20" s="46" customFormat="1" ht="26.4" x14ac:dyDescent="0.25">
      <c r="A551" s="16" t="s">
        <v>27</v>
      </c>
      <c r="B551" s="14">
        <v>793</v>
      </c>
      <c r="C551" s="15" t="s">
        <v>10</v>
      </c>
      <c r="D551" s="15" t="s">
        <v>98</v>
      </c>
      <c r="E551" s="15" t="s">
        <v>435</v>
      </c>
      <c r="F551" s="15" t="s">
        <v>28</v>
      </c>
      <c r="G551" s="81">
        <f>прил4.!G435</f>
        <v>6104.51</v>
      </c>
      <c r="H551" s="81">
        <f>прил4.!H435</f>
        <v>147010.01</v>
      </c>
      <c r="I551" s="81">
        <f>прил4.!I435</f>
        <v>6044.77</v>
      </c>
      <c r="J551" s="98"/>
      <c r="P551" s="98"/>
      <c r="Q551" s="98"/>
      <c r="R551" s="98"/>
      <c r="S551" s="98"/>
      <c r="T551" s="98"/>
    </row>
    <row r="552" spans="1:20" s="75" customFormat="1" ht="36.75" customHeight="1" x14ac:dyDescent="0.25">
      <c r="A552" s="96" t="s">
        <v>353</v>
      </c>
      <c r="B552" s="125">
        <v>793</v>
      </c>
      <c r="C552" s="36" t="s">
        <v>19</v>
      </c>
      <c r="D552" s="36" t="s">
        <v>49</v>
      </c>
      <c r="E552" s="36" t="s">
        <v>352</v>
      </c>
      <c r="F552" s="74"/>
      <c r="G552" s="71">
        <f>G553</f>
        <v>3383267.5</v>
      </c>
      <c r="H552" s="71">
        <f>H553</f>
        <v>3713387.5</v>
      </c>
      <c r="I552" s="71">
        <f>I553</f>
        <v>3849969</v>
      </c>
      <c r="J552" s="204"/>
      <c r="K552" s="205"/>
      <c r="L552" s="205"/>
      <c r="M552" s="205"/>
      <c r="N552" s="205"/>
      <c r="O552" s="205"/>
      <c r="P552" s="205"/>
      <c r="Q552" s="205"/>
      <c r="R552" s="205"/>
    </row>
    <row r="553" spans="1:20" s="28" customFormat="1" ht="70.5" customHeight="1" x14ac:dyDescent="0.25">
      <c r="A553" s="253" t="s">
        <v>440</v>
      </c>
      <c r="B553" s="120">
        <v>793</v>
      </c>
      <c r="C553" s="15" t="s">
        <v>19</v>
      </c>
      <c r="D553" s="15" t="s">
        <v>49</v>
      </c>
      <c r="E553" s="15" t="s">
        <v>439</v>
      </c>
      <c r="F553" s="39"/>
      <c r="G553" s="70">
        <f>G554+G556</f>
        <v>3383267.5</v>
      </c>
      <c r="H553" s="70">
        <f t="shared" ref="H553:I553" si="209">H554+H556</f>
        <v>3713387.5</v>
      </c>
      <c r="I553" s="70">
        <f t="shared" si="209"/>
        <v>3849969</v>
      </c>
      <c r="J553" s="136"/>
      <c r="K553" s="202"/>
      <c r="L553" s="202"/>
      <c r="M553" s="202"/>
      <c r="N553" s="202"/>
      <c r="O553" s="202"/>
      <c r="P553" s="202"/>
      <c r="Q553" s="202"/>
      <c r="R553" s="202"/>
    </row>
    <row r="554" spans="1:20" ht="36.75" customHeight="1" x14ac:dyDescent="0.25">
      <c r="A554" s="78" t="s">
        <v>40</v>
      </c>
      <c r="B554" s="120">
        <v>793</v>
      </c>
      <c r="C554" s="15" t="s">
        <v>19</v>
      </c>
      <c r="D554" s="15" t="s">
        <v>49</v>
      </c>
      <c r="E554" s="15" t="s">
        <v>439</v>
      </c>
      <c r="F554" s="15" t="s">
        <v>41</v>
      </c>
      <c r="G554" s="70">
        <f t="shared" ref="G554:I556" si="210">G555</f>
        <v>3285768</v>
      </c>
      <c r="H554" s="70">
        <f t="shared" si="210"/>
        <v>3604387.5</v>
      </c>
      <c r="I554" s="70">
        <f t="shared" si="210"/>
        <v>3737469</v>
      </c>
      <c r="J554" s="136"/>
      <c r="K554" s="69"/>
      <c r="L554" s="69"/>
      <c r="M554" s="69"/>
      <c r="N554" s="69"/>
      <c r="O554" s="69"/>
      <c r="P554" s="69"/>
      <c r="Q554" s="69"/>
      <c r="R554" s="69"/>
      <c r="S554" s="1"/>
      <c r="T554" s="1"/>
    </row>
    <row r="555" spans="1:20" ht="21" customHeight="1" x14ac:dyDescent="0.25">
      <c r="A555" s="78" t="s">
        <v>199</v>
      </c>
      <c r="B555" s="120">
        <v>793</v>
      </c>
      <c r="C555" s="15" t="s">
        <v>19</v>
      </c>
      <c r="D555" s="15" t="s">
        <v>49</v>
      </c>
      <c r="E555" s="15" t="s">
        <v>439</v>
      </c>
      <c r="F555" s="15" t="s">
        <v>42</v>
      </c>
      <c r="G555" s="70">
        <f>прил4.!G489</f>
        <v>3285768</v>
      </c>
      <c r="H555" s="70">
        <f>прил4.!H489</f>
        <v>3604387.5</v>
      </c>
      <c r="I555" s="70">
        <f>прил4.!I489</f>
        <v>3737469</v>
      </c>
      <c r="J555" s="136"/>
      <c r="K555" s="69"/>
      <c r="L555" s="69"/>
      <c r="M555" s="69"/>
      <c r="N555" s="69"/>
      <c r="O555" s="69"/>
      <c r="P555" s="69"/>
      <c r="Q555" s="69"/>
      <c r="R555" s="69"/>
      <c r="S555" s="1"/>
      <c r="T555" s="1"/>
    </row>
    <row r="556" spans="1:20" ht="36.75" customHeight="1" x14ac:dyDescent="0.25">
      <c r="A556" s="78" t="s">
        <v>40</v>
      </c>
      <c r="B556" s="120">
        <v>793</v>
      </c>
      <c r="C556" s="15" t="s">
        <v>19</v>
      </c>
      <c r="D556" s="15" t="s">
        <v>49</v>
      </c>
      <c r="E556" s="15" t="s">
        <v>439</v>
      </c>
      <c r="F556" s="79" t="s">
        <v>26</v>
      </c>
      <c r="G556" s="70">
        <f t="shared" si="210"/>
        <v>97499.5</v>
      </c>
      <c r="H556" s="70">
        <f t="shared" si="210"/>
        <v>109000</v>
      </c>
      <c r="I556" s="70">
        <f t="shared" si="210"/>
        <v>112500</v>
      </c>
      <c r="J556" s="136"/>
      <c r="K556" s="69"/>
      <c r="L556" s="69"/>
      <c r="M556" s="69"/>
      <c r="N556" s="69"/>
      <c r="O556" s="69"/>
      <c r="P556" s="69"/>
      <c r="Q556" s="69"/>
      <c r="R556" s="69"/>
      <c r="S556" s="1"/>
      <c r="T556" s="1"/>
    </row>
    <row r="557" spans="1:20" ht="26.25" customHeight="1" x14ac:dyDescent="0.25">
      <c r="A557" s="78" t="s">
        <v>199</v>
      </c>
      <c r="B557" s="120">
        <v>793</v>
      </c>
      <c r="C557" s="15" t="s">
        <v>19</v>
      </c>
      <c r="D557" s="15" t="s">
        <v>49</v>
      </c>
      <c r="E557" s="15" t="s">
        <v>439</v>
      </c>
      <c r="F557" s="79" t="s">
        <v>28</v>
      </c>
      <c r="G557" s="70">
        <f>прил4.!G491</f>
        <v>97499.5</v>
      </c>
      <c r="H557" s="70">
        <f>прил4.!H491</f>
        <v>109000</v>
      </c>
      <c r="I557" s="70">
        <f>прил4.!I491</f>
        <v>112500</v>
      </c>
      <c r="J557" s="136"/>
      <c r="K557" s="69"/>
      <c r="L557" s="69"/>
      <c r="M557" s="69"/>
      <c r="N557" s="69"/>
      <c r="O557" s="69"/>
      <c r="P557" s="69"/>
      <c r="Q557" s="69"/>
      <c r="R557" s="69"/>
      <c r="S557" s="1"/>
      <c r="T557" s="1"/>
    </row>
    <row r="558" spans="1:20" ht="23.25" customHeight="1" x14ac:dyDescent="0.25">
      <c r="A558" s="293" t="s">
        <v>377</v>
      </c>
      <c r="B558" s="120"/>
      <c r="C558" s="15"/>
      <c r="D558" s="15"/>
      <c r="E558" s="15"/>
      <c r="F558" s="79"/>
      <c r="G558" s="70"/>
      <c r="H558" s="70">
        <f>прил4.!H734</f>
        <v>25014506.351499997</v>
      </c>
      <c r="I558" s="70">
        <f>прил4.!I734</f>
        <v>53863032.033500001</v>
      </c>
      <c r="J558" s="136"/>
      <c r="K558" s="69"/>
      <c r="L558" s="69"/>
      <c r="M558" s="69"/>
      <c r="N558" s="69"/>
      <c r="O558" s="69"/>
      <c r="P558" s="69"/>
      <c r="Q558" s="69"/>
      <c r="R558" s="69"/>
      <c r="S558" s="1"/>
      <c r="T558" s="1"/>
    </row>
    <row r="559" spans="1:20" s="22" customFormat="1" ht="36" customHeight="1" x14ac:dyDescent="0.25">
      <c r="A559" s="264" t="s">
        <v>231</v>
      </c>
      <c r="B559" s="265"/>
      <c r="C559" s="265"/>
      <c r="D559" s="265"/>
      <c r="E559" s="265"/>
      <c r="F559" s="265"/>
      <c r="G559" s="266">
        <f>G9+G462+G558</f>
        <v>2384814226.8899999</v>
      </c>
      <c r="H559" s="266">
        <f>H9+H462+H558</f>
        <v>2473657532.3715</v>
      </c>
      <c r="I559" s="266">
        <f>I9+I462+I558</f>
        <v>2109792879.5834997</v>
      </c>
      <c r="J559" s="21"/>
      <c r="L559" s="21" t="e">
        <f>G533+H533+I533+G527+H527+I527+G521+H521+I521+G513+H513+I513+G469+H469+I469+G465+H465+I465+#REF!+#REF!+#REF!+G303+H303+I303+G209+H209+I209+G38+H38+I38</f>
        <v>#REF!</v>
      </c>
      <c r="P559" s="21"/>
      <c r="Q559" s="21">
        <v>40158970</v>
      </c>
      <c r="R559" s="21"/>
      <c r="S559" s="21"/>
      <c r="T559" s="21"/>
    </row>
  </sheetData>
  <mergeCells count="15">
    <mergeCell ref="E3:G3"/>
    <mergeCell ref="E2:G2"/>
    <mergeCell ref="H2:I2"/>
    <mergeCell ref="H3:I3"/>
    <mergeCell ref="A5:A7"/>
    <mergeCell ref="A4:I4"/>
    <mergeCell ref="G6:G7"/>
    <mergeCell ref="D6:D7"/>
    <mergeCell ref="B6:B7"/>
    <mergeCell ref="C6:C7"/>
    <mergeCell ref="F5:F7"/>
    <mergeCell ref="E5:E7"/>
    <mergeCell ref="H6:H7"/>
    <mergeCell ref="I6:I7"/>
    <mergeCell ref="G5:I5"/>
  </mergeCells>
  <phoneticPr fontId="25" type="noConversion"/>
  <pageMargins left="0.47244094488188981" right="0.19685039370078741" top="0.23622047244094491" bottom="0.19685039370078741" header="0.19685039370078741" footer="0.19685039370078741"/>
  <pageSetup paperSize="9" scale="55" orientation="portrait" r:id="rId1"/>
  <headerFooter alignWithMargins="0"/>
  <rowBreaks count="1" manualBreakCount="1">
    <brk id="5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прил3 </vt:lpstr>
      <vt:lpstr>прил4.</vt:lpstr>
      <vt:lpstr>прил 5</vt:lpstr>
      <vt:lpstr>'прил 5'!Заголовки_для_печати</vt:lpstr>
      <vt:lpstr>прил4.!Заголовки_для_печати</vt:lpstr>
      <vt:lpstr>'прил 5'!Область_печати</vt:lpstr>
      <vt:lpstr>'прил3 '!Область_печати</vt:lpstr>
      <vt:lpstr>прил4.!Область_печати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Bud-Vera</cp:lastModifiedBy>
  <cp:lastPrinted>2024-11-27T11:24:44Z</cp:lastPrinted>
  <dcterms:created xsi:type="dcterms:W3CDTF">2014-11-17T05:43:53Z</dcterms:created>
  <dcterms:modified xsi:type="dcterms:W3CDTF">2024-12-03T08:58:10Z</dcterms:modified>
</cp:coreProperties>
</file>